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21 PBL 24042021\PBL CUENTA PUBLICA PRIMER TRIMESTRE 2021\"/>
    </mc:Choice>
  </mc:AlternateContent>
  <xr:revisionPtr revIDLastSave="0" documentId="8_{1CD43FF3-5528-4BDC-82A6-A533C449E02A}" xr6:coauthVersionLast="45" xr6:coauthVersionMax="45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0730" windowHeight="11160" firstSheet="19" activeTab="29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7" i="6" l="1"/>
  <c r="D137" i="6"/>
  <c r="E137" i="6"/>
  <c r="F137" i="6"/>
  <c r="T129" i="24" s="1"/>
  <c r="B137" i="6"/>
  <c r="C62" i="6"/>
  <c r="D62" i="6"/>
  <c r="E62" i="6"/>
  <c r="S55" i="24" s="1"/>
  <c r="F62" i="6"/>
  <c r="B62" i="6"/>
  <c r="B8" i="10"/>
  <c r="C6" i="23"/>
  <c r="C7" i="23" s="1"/>
  <c r="B9" i="1"/>
  <c r="H25" i="23"/>
  <c r="G25" i="23"/>
  <c r="F25" i="23"/>
  <c r="E25" i="23"/>
  <c r="D25" i="23"/>
  <c r="G30" i="9"/>
  <c r="G31" i="9"/>
  <c r="U23" i="27" s="1"/>
  <c r="G29" i="9"/>
  <c r="G28" i="9" s="1"/>
  <c r="U20" i="27" s="1"/>
  <c r="G26" i="9"/>
  <c r="G27" i="9"/>
  <c r="G25" i="9"/>
  <c r="U17" i="27" s="1"/>
  <c r="G23" i="9"/>
  <c r="G22" i="9"/>
  <c r="G19" i="9"/>
  <c r="G18" i="9"/>
  <c r="G16" i="9" s="1"/>
  <c r="U9" i="27" s="1"/>
  <c r="G17" i="9"/>
  <c r="U10" i="27" s="1"/>
  <c r="G14" i="9"/>
  <c r="G15" i="9"/>
  <c r="G13" i="9"/>
  <c r="G12" i="9" s="1"/>
  <c r="U5" i="27" s="1"/>
  <c r="G11" i="9"/>
  <c r="G10" i="9"/>
  <c r="G73" i="8"/>
  <c r="U65" i="26" s="1"/>
  <c r="G74" i="8"/>
  <c r="U66" i="26" s="1"/>
  <c r="G75" i="8"/>
  <c r="G72" i="8"/>
  <c r="G63" i="8"/>
  <c r="G64" i="8"/>
  <c r="G65" i="8"/>
  <c r="G66" i="8"/>
  <c r="G67" i="8"/>
  <c r="G68" i="8"/>
  <c r="U60" i="26" s="1"/>
  <c r="G69" i="8"/>
  <c r="U61" i="26" s="1"/>
  <c r="G70" i="8"/>
  <c r="G62" i="8"/>
  <c r="G55" i="8"/>
  <c r="G56" i="8"/>
  <c r="G57" i="8"/>
  <c r="G58" i="8"/>
  <c r="G59" i="8"/>
  <c r="U51" i="26" s="1"/>
  <c r="G60" i="8"/>
  <c r="U52" i="26" s="1"/>
  <c r="G54" i="8"/>
  <c r="G46" i="8"/>
  <c r="G47" i="8"/>
  <c r="G48" i="8"/>
  <c r="G49" i="8"/>
  <c r="G50" i="8"/>
  <c r="G51" i="8"/>
  <c r="U43" i="26" s="1"/>
  <c r="G52" i="8"/>
  <c r="U44" i="26" s="1"/>
  <c r="G45" i="8"/>
  <c r="G39" i="8"/>
  <c r="G40" i="8"/>
  <c r="U33" i="26" s="1"/>
  <c r="G41" i="8"/>
  <c r="U34" i="26" s="1"/>
  <c r="G38" i="8"/>
  <c r="G11" i="8"/>
  <c r="G12" i="8"/>
  <c r="G13" i="8"/>
  <c r="G14" i="8"/>
  <c r="G15" i="8"/>
  <c r="U8" i="26" s="1"/>
  <c r="G16" i="8"/>
  <c r="U9" i="26" s="1"/>
  <c r="G17" i="8"/>
  <c r="U10" i="26" s="1"/>
  <c r="G18" i="8"/>
  <c r="G20" i="8"/>
  <c r="G21" i="8"/>
  <c r="U14" i="26" s="1"/>
  <c r="G22" i="8"/>
  <c r="G23" i="8"/>
  <c r="G24" i="8"/>
  <c r="G25" i="8"/>
  <c r="U18" i="26" s="1"/>
  <c r="G26" i="8"/>
  <c r="G28" i="8"/>
  <c r="G29" i="8"/>
  <c r="G30" i="8"/>
  <c r="G27" i="8" s="1"/>
  <c r="U20" i="26" s="1"/>
  <c r="G31" i="8"/>
  <c r="G32" i="8"/>
  <c r="G33" i="8"/>
  <c r="G34" i="8"/>
  <c r="G35" i="8"/>
  <c r="G36" i="8"/>
  <c r="G21" i="7"/>
  <c r="G19" i="7" s="1"/>
  <c r="U3" i="25" s="1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P3" i="24" s="1"/>
  <c r="B18" i="6"/>
  <c r="B28" i="6"/>
  <c r="B38" i="6"/>
  <c r="B48" i="6"/>
  <c r="P41" i="24" s="1"/>
  <c r="B58" i="6"/>
  <c r="B71" i="6"/>
  <c r="P64" i="24" s="1"/>
  <c r="B75" i="6"/>
  <c r="G152" i="6"/>
  <c r="G150" i="6" s="1"/>
  <c r="U142" i="24" s="1"/>
  <c r="G153" i="6"/>
  <c r="G154" i="6"/>
  <c r="G155" i="6"/>
  <c r="G156" i="6"/>
  <c r="G157" i="6"/>
  <c r="G151" i="6"/>
  <c r="G148" i="6"/>
  <c r="G149" i="6"/>
  <c r="G147" i="6"/>
  <c r="G139" i="6"/>
  <c r="G140" i="6"/>
  <c r="G141" i="6"/>
  <c r="U133" i="24" s="1"/>
  <c r="G142" i="6"/>
  <c r="U134" i="24" s="1"/>
  <c r="G143" i="6"/>
  <c r="G144" i="6"/>
  <c r="G145" i="6"/>
  <c r="G138" i="6"/>
  <c r="G135" i="6"/>
  <c r="G136" i="6"/>
  <c r="G134" i="6"/>
  <c r="U126" i="24" s="1"/>
  <c r="G125" i="6"/>
  <c r="G126" i="6"/>
  <c r="G127" i="6"/>
  <c r="G128" i="6"/>
  <c r="U120" i="24" s="1"/>
  <c r="G129" i="6"/>
  <c r="G130" i="6"/>
  <c r="G131" i="6"/>
  <c r="G132" i="6"/>
  <c r="U124" i="24" s="1"/>
  <c r="G124" i="6"/>
  <c r="G115" i="6"/>
  <c r="G116" i="6"/>
  <c r="G117" i="6"/>
  <c r="U109" i="24" s="1"/>
  <c r="G118" i="6"/>
  <c r="U110" i="24" s="1"/>
  <c r="G119" i="6"/>
  <c r="G120" i="6"/>
  <c r="G121" i="6"/>
  <c r="G122" i="6"/>
  <c r="U114" i="24" s="1"/>
  <c r="G114" i="6"/>
  <c r="G105" i="6"/>
  <c r="G106" i="6"/>
  <c r="G107" i="6"/>
  <c r="G108" i="6"/>
  <c r="G109" i="6"/>
  <c r="G110" i="6"/>
  <c r="G111" i="6"/>
  <c r="G112" i="6"/>
  <c r="G104" i="6"/>
  <c r="U96" i="24" s="1"/>
  <c r="G95" i="6"/>
  <c r="U87" i="24" s="1"/>
  <c r="G96" i="6"/>
  <c r="G97" i="6"/>
  <c r="G98" i="6"/>
  <c r="G99" i="6"/>
  <c r="U91" i="24" s="1"/>
  <c r="G100" i="6"/>
  <c r="G101" i="6"/>
  <c r="G102" i="6"/>
  <c r="G94" i="6"/>
  <c r="U86" i="24" s="1"/>
  <c r="G87" i="6"/>
  <c r="G88" i="6"/>
  <c r="G89" i="6"/>
  <c r="G90" i="6"/>
  <c r="U82" i="24" s="1"/>
  <c r="G91" i="6"/>
  <c r="U83" i="24" s="1"/>
  <c r="G92" i="6"/>
  <c r="G86" i="6"/>
  <c r="U78" i="24" s="1"/>
  <c r="G77" i="6"/>
  <c r="G75" i="6" s="1"/>
  <c r="U68" i="24" s="1"/>
  <c r="G78" i="6"/>
  <c r="G79" i="6"/>
  <c r="G80" i="6"/>
  <c r="G81" i="6"/>
  <c r="U74" i="24" s="1"/>
  <c r="G82" i="6"/>
  <c r="G76" i="6"/>
  <c r="G73" i="6"/>
  <c r="U66" i="24" s="1"/>
  <c r="G74" i="6"/>
  <c r="U67" i="24" s="1"/>
  <c r="G72" i="6"/>
  <c r="G64" i="6"/>
  <c r="G65" i="6"/>
  <c r="G66" i="6"/>
  <c r="U59" i="24" s="1"/>
  <c r="G67" i="6"/>
  <c r="G68" i="6"/>
  <c r="G69" i="6"/>
  <c r="G70" i="6"/>
  <c r="U63" i="24" s="1"/>
  <c r="G63" i="6"/>
  <c r="G60" i="6"/>
  <c r="G61" i="6"/>
  <c r="G59" i="6"/>
  <c r="G58" i="6" s="1"/>
  <c r="U51" i="24" s="1"/>
  <c r="G50" i="6"/>
  <c r="G51" i="6"/>
  <c r="G52" i="6"/>
  <c r="G53" i="6"/>
  <c r="G48" i="6" s="1"/>
  <c r="U41" i="24" s="1"/>
  <c r="G54" i="6"/>
  <c r="G55" i="6"/>
  <c r="G56" i="6"/>
  <c r="G57" i="6"/>
  <c r="G49" i="6"/>
  <c r="U42" i="24" s="1"/>
  <c r="G40" i="6"/>
  <c r="G41" i="6"/>
  <c r="G42" i="6"/>
  <c r="G38" i="6" s="1"/>
  <c r="U31" i="24" s="1"/>
  <c r="G43" i="6"/>
  <c r="G44" i="6"/>
  <c r="G45" i="6"/>
  <c r="G46" i="6"/>
  <c r="U39" i="24" s="1"/>
  <c r="G47" i="6"/>
  <c r="G39" i="6"/>
  <c r="G30" i="6"/>
  <c r="G31" i="6"/>
  <c r="U24" i="24" s="1"/>
  <c r="G32" i="6"/>
  <c r="G33" i="6"/>
  <c r="G34" i="6"/>
  <c r="G35" i="6"/>
  <c r="U28" i="24" s="1"/>
  <c r="G36" i="6"/>
  <c r="G37" i="6"/>
  <c r="G29" i="6"/>
  <c r="G20" i="6"/>
  <c r="U13" i="24" s="1"/>
  <c r="G21" i="6"/>
  <c r="G22" i="6"/>
  <c r="G23" i="6"/>
  <c r="G24" i="6"/>
  <c r="U17" i="24" s="1"/>
  <c r="G25" i="6"/>
  <c r="U18" i="24" s="1"/>
  <c r="G26" i="6"/>
  <c r="G27" i="6"/>
  <c r="G19" i="6"/>
  <c r="U12" i="24" s="1"/>
  <c r="G11" i="6"/>
  <c r="B7" i="13"/>
  <c r="G12" i="6"/>
  <c r="G13" i="6"/>
  <c r="U6" i="24" s="1"/>
  <c r="G14" i="6"/>
  <c r="G15" i="6"/>
  <c r="G16" i="6"/>
  <c r="G17" i="6"/>
  <c r="U10" i="24" s="1"/>
  <c r="G9" i="5"/>
  <c r="G10" i="5"/>
  <c r="G11" i="5"/>
  <c r="G12" i="5"/>
  <c r="U6" i="20" s="1"/>
  <c r="G13" i="5"/>
  <c r="G14" i="5"/>
  <c r="G15" i="5"/>
  <c r="G17" i="5"/>
  <c r="G16" i="5" s="1"/>
  <c r="U10" i="20" s="1"/>
  <c r="G18" i="5"/>
  <c r="G19" i="5"/>
  <c r="G20" i="5"/>
  <c r="U14" i="20" s="1"/>
  <c r="G21" i="5"/>
  <c r="U15" i="20" s="1"/>
  <c r="G22" i="5"/>
  <c r="G23" i="5"/>
  <c r="G24" i="5"/>
  <c r="U18" i="20" s="1"/>
  <c r="G25" i="5"/>
  <c r="U19" i="20" s="1"/>
  <c r="G26" i="5"/>
  <c r="G27" i="5"/>
  <c r="G29" i="5"/>
  <c r="G30" i="5"/>
  <c r="G31" i="5"/>
  <c r="G32" i="5"/>
  <c r="G33" i="5"/>
  <c r="G34" i="5"/>
  <c r="U28" i="20" s="1"/>
  <c r="G36" i="5"/>
  <c r="G35" i="5" s="1"/>
  <c r="U29" i="20" s="1"/>
  <c r="G38" i="5"/>
  <c r="G39" i="5"/>
  <c r="U33" i="20" s="1"/>
  <c r="G37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C18" i="13"/>
  <c r="Q12" i="31" s="1"/>
  <c r="D18" i="13"/>
  <c r="R12" i="31" s="1"/>
  <c r="E18" i="13"/>
  <c r="S12" i="31" s="1"/>
  <c r="F18" i="13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D7" i="13"/>
  <c r="D29" i="13" s="1"/>
  <c r="R22" i="31" s="1"/>
  <c r="E7" i="13"/>
  <c r="E29" i="13" s="1"/>
  <c r="S22" i="31" s="1"/>
  <c r="F7" i="13"/>
  <c r="G7" i="13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D21" i="12"/>
  <c r="R15" i="30" s="1"/>
  <c r="E21" i="12"/>
  <c r="S15" i="30" s="1"/>
  <c r="F21" i="12"/>
  <c r="T15" i="30" s="1"/>
  <c r="G21" i="12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 s="1"/>
  <c r="D28" i="12"/>
  <c r="R21" i="30" s="1"/>
  <c r="E28" i="12"/>
  <c r="S21" i="30" s="1"/>
  <c r="F28" i="12"/>
  <c r="T21" i="30" s="1"/>
  <c r="G28" i="12"/>
  <c r="U21" i="30" s="1"/>
  <c r="P22" i="30"/>
  <c r="Q22" i="30"/>
  <c r="R22" i="30"/>
  <c r="S22" i="30"/>
  <c r="T22" i="30"/>
  <c r="U22" i="30"/>
  <c r="B7" i="12"/>
  <c r="B31" i="12" s="1"/>
  <c r="P23" i="30"/>
  <c r="C7" i="12"/>
  <c r="D7" i="12"/>
  <c r="E7" i="12"/>
  <c r="E31" i="12"/>
  <c r="S23" i="30" s="1"/>
  <c r="F7" i="12"/>
  <c r="G7" i="12"/>
  <c r="U2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Q2" i="30"/>
  <c r="S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 s="1"/>
  <c r="P22" i="29"/>
  <c r="C8" i="11"/>
  <c r="C30" i="11"/>
  <c r="Q22" i="29" s="1"/>
  <c r="D8" i="11"/>
  <c r="E8" i="11"/>
  <c r="E30" i="11"/>
  <c r="S22" i="29" s="1"/>
  <c r="F8" i="11"/>
  <c r="F30" i="11" s="1"/>
  <c r="T22" i="29" s="1"/>
  <c r="G8" i="11"/>
  <c r="G30" i="11"/>
  <c r="U22" i="29" s="1"/>
  <c r="Q2" i="29"/>
  <c r="S2" i="29"/>
  <c r="U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E29" i="10"/>
  <c r="S21" i="28" s="1"/>
  <c r="F29" i="10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 s="1"/>
  <c r="P22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D12" i="9"/>
  <c r="R5" i="27" s="1"/>
  <c r="D16" i="9"/>
  <c r="E12" i="9"/>
  <c r="E16" i="9"/>
  <c r="F12" i="9"/>
  <c r="F16" i="9"/>
  <c r="F9" i="9" s="1"/>
  <c r="T2" i="27" s="1"/>
  <c r="Q3" i="27"/>
  <c r="R3" i="27"/>
  <c r="S3" i="27"/>
  <c r="T3" i="27"/>
  <c r="U3" i="27"/>
  <c r="Q4" i="27"/>
  <c r="R4" i="27"/>
  <c r="S4" i="27"/>
  <c r="T4" i="27"/>
  <c r="U4" i="27"/>
  <c r="Q5" i="27"/>
  <c r="S5" i="27"/>
  <c r="T5" i="27"/>
  <c r="Q6" i="27"/>
  <c r="R6" i="27"/>
  <c r="S6" i="27"/>
  <c r="T6" i="27"/>
  <c r="Q7" i="27"/>
  <c r="R7" i="27"/>
  <c r="S7" i="27"/>
  <c r="T7" i="27"/>
  <c r="U7" i="27"/>
  <c r="Q8" i="27"/>
  <c r="R8" i="27"/>
  <c r="S8" i="27"/>
  <c r="T8" i="27"/>
  <c r="U8" i="27"/>
  <c r="Q10" i="27"/>
  <c r="R10" i="27"/>
  <c r="S10" i="27"/>
  <c r="T10" i="27"/>
  <c r="Q11" i="27"/>
  <c r="R11" i="27"/>
  <c r="S11" i="27"/>
  <c r="T11" i="27"/>
  <c r="Q12" i="27"/>
  <c r="R12" i="27"/>
  <c r="S12" i="27"/>
  <c r="T12" i="27"/>
  <c r="U12" i="27"/>
  <c r="C24" i="9"/>
  <c r="C21" i="9" s="1"/>
  <c r="C28" i="9"/>
  <c r="Q20" i="27" s="1"/>
  <c r="D24" i="9"/>
  <c r="D28" i="9"/>
  <c r="R20" i="27" s="1"/>
  <c r="E24" i="9"/>
  <c r="E21" i="9" s="1"/>
  <c r="S13" i="27" s="1"/>
  <c r="E28" i="9"/>
  <c r="S20" i="27" s="1"/>
  <c r="F24" i="9"/>
  <c r="F28" i="9"/>
  <c r="Q14" i="27"/>
  <c r="R14" i="27"/>
  <c r="S14" i="27"/>
  <c r="T14" i="27"/>
  <c r="U14" i="27"/>
  <c r="Q15" i="27"/>
  <c r="R15" i="27"/>
  <c r="S15" i="27"/>
  <c r="T15" i="27"/>
  <c r="Q16" i="27"/>
  <c r="S16" i="27"/>
  <c r="T16" i="27"/>
  <c r="Q17" i="27"/>
  <c r="R17" i="27"/>
  <c r="S17" i="27"/>
  <c r="T17" i="27"/>
  <c r="Q18" i="27"/>
  <c r="R18" i="27"/>
  <c r="S18" i="27"/>
  <c r="T18" i="27"/>
  <c r="U18" i="27"/>
  <c r="Q19" i="27"/>
  <c r="R19" i="27"/>
  <c r="S19" i="27"/>
  <c r="T19" i="27"/>
  <c r="U19" i="27"/>
  <c r="T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P3" i="27"/>
  <c r="P4" i="27"/>
  <c r="B12" i="9"/>
  <c r="P5" i="27"/>
  <c r="P6" i="27"/>
  <c r="P7" i="27"/>
  <c r="P8" i="27"/>
  <c r="B16" i="9"/>
  <c r="P10" i="27"/>
  <c r="P11" i="27"/>
  <c r="P12" i="27"/>
  <c r="B24" i="9"/>
  <c r="B28" i="9"/>
  <c r="P20" i="27" s="1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C19" i="8"/>
  <c r="C27" i="8"/>
  <c r="Q20" i="26" s="1"/>
  <c r="C37" i="8"/>
  <c r="Q30" i="26" s="1"/>
  <c r="D10" i="8"/>
  <c r="D19" i="8"/>
  <c r="R12" i="26" s="1"/>
  <c r="D27" i="8"/>
  <c r="R20" i="26" s="1"/>
  <c r="D37" i="8"/>
  <c r="R30" i="26" s="1"/>
  <c r="E10" i="8"/>
  <c r="E19" i="8"/>
  <c r="E27" i="8"/>
  <c r="E37" i="8"/>
  <c r="F10" i="8"/>
  <c r="T3" i="26" s="1"/>
  <c r="F19" i="8"/>
  <c r="F27" i="8"/>
  <c r="T20" i="26" s="1"/>
  <c r="F37" i="8"/>
  <c r="T30" i="26" s="1"/>
  <c r="Q3" i="26"/>
  <c r="R3" i="26"/>
  <c r="S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Q7" i="26"/>
  <c r="R7" i="26"/>
  <c r="S7" i="26"/>
  <c r="T7" i="26"/>
  <c r="U7" i="26"/>
  <c r="Q8" i="26"/>
  <c r="R8" i="26"/>
  <c r="S8" i="26"/>
  <c r="T8" i="26"/>
  <c r="Q9" i="26"/>
  <c r="R9" i="26"/>
  <c r="S9" i="26"/>
  <c r="T9" i="26"/>
  <c r="Q10" i="26"/>
  <c r="R10" i="26"/>
  <c r="S10" i="26"/>
  <c r="T10" i="26"/>
  <c r="Q11" i="26"/>
  <c r="R11" i="26"/>
  <c r="S11" i="26"/>
  <c r="T11" i="26"/>
  <c r="U11" i="26"/>
  <c r="Q13" i="26"/>
  <c r="R13" i="26"/>
  <c r="S13" i="26"/>
  <c r="T13" i="26"/>
  <c r="U13" i="26"/>
  <c r="Q14" i="26"/>
  <c r="R14" i="26"/>
  <c r="S14" i="26"/>
  <c r="T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Q19" i="26"/>
  <c r="R19" i="26"/>
  <c r="S19" i="26"/>
  <c r="T19" i="26"/>
  <c r="U19" i="26"/>
  <c r="S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S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Q34" i="26"/>
  <c r="R34" i="26"/>
  <c r="S34" i="26"/>
  <c r="T34" i="26"/>
  <c r="C44" i="8"/>
  <c r="C53" i="8"/>
  <c r="Q45" i="26" s="1"/>
  <c r="C61" i="8"/>
  <c r="Q53" i="26" s="1"/>
  <c r="C71" i="8"/>
  <c r="Q63" i="26" s="1"/>
  <c r="D44" i="8"/>
  <c r="D53" i="8"/>
  <c r="D61" i="8"/>
  <c r="R53" i="26" s="1"/>
  <c r="D71" i="8"/>
  <c r="E44" i="8"/>
  <c r="E53" i="8"/>
  <c r="E61" i="8"/>
  <c r="S53" i="26" s="1"/>
  <c r="E71" i="8"/>
  <c r="S63" i="26" s="1"/>
  <c r="F44" i="8"/>
  <c r="T36" i="26" s="1"/>
  <c r="F53" i="8"/>
  <c r="F61" i="8"/>
  <c r="T53" i="26" s="1"/>
  <c r="F71" i="8"/>
  <c r="Q36" i="26"/>
  <c r="R36" i="26"/>
  <c r="S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Q44" i="26"/>
  <c r="R44" i="26"/>
  <c r="S44" i="26"/>
  <c r="T44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Q52" i="26"/>
  <c r="R52" i="26"/>
  <c r="S52" i="26"/>
  <c r="T52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Q61" i="26"/>
  <c r="R61" i="26"/>
  <c r="S61" i="26"/>
  <c r="T61" i="26"/>
  <c r="Q62" i="26"/>
  <c r="R62" i="26"/>
  <c r="S62" i="26"/>
  <c r="T62" i="26"/>
  <c r="U62" i="26"/>
  <c r="R63" i="26"/>
  <c r="T63" i="26"/>
  <c r="Q64" i="26"/>
  <c r="R64" i="26"/>
  <c r="S64" i="26"/>
  <c r="T64" i="26"/>
  <c r="Q65" i="26"/>
  <c r="R65" i="26"/>
  <c r="S65" i="26"/>
  <c r="T65" i="26"/>
  <c r="Q66" i="26"/>
  <c r="R66" i="26"/>
  <c r="S66" i="26"/>
  <c r="T66" i="26"/>
  <c r="Q67" i="26"/>
  <c r="R67" i="26"/>
  <c r="S67" i="26"/>
  <c r="T67" i="26"/>
  <c r="U67" i="26"/>
  <c r="B44" i="8"/>
  <c r="P36" i="26" s="1"/>
  <c r="B53" i="8"/>
  <c r="B61" i="8"/>
  <c r="P53" i="26" s="1"/>
  <c r="B71" i="8"/>
  <c r="P63" i="26" s="1"/>
  <c r="B10" i="8"/>
  <c r="P3" i="26" s="1"/>
  <c r="B19" i="8"/>
  <c r="B27" i="8"/>
  <c r="B37" i="8"/>
  <c r="P30" i="26" s="1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T2" i="25" s="1"/>
  <c r="F19" i="7"/>
  <c r="T3" i="25" s="1"/>
  <c r="E9" i="7"/>
  <c r="E19" i="7"/>
  <c r="S3" i="25" s="1"/>
  <c r="D9" i="7"/>
  <c r="R2" i="25" s="1"/>
  <c r="D19" i="7"/>
  <c r="R3" i="25" s="1"/>
  <c r="C9" i="7"/>
  <c r="C19" i="7"/>
  <c r="Q3" i="25" s="1"/>
  <c r="B9" i="7"/>
  <c r="P2" i="25" s="1"/>
  <c r="B19" i="7"/>
  <c r="P3" i="25" s="1"/>
  <c r="S2" i="25"/>
  <c r="A3" i="25"/>
  <c r="A4" i="25"/>
  <c r="A2" i="25"/>
  <c r="A87" i="24"/>
  <c r="Q77" i="24"/>
  <c r="C93" i="6"/>
  <c r="C103" i="6"/>
  <c r="C113" i="6"/>
  <c r="C123" i="6"/>
  <c r="C133" i="6"/>
  <c r="Q125" i="24" s="1"/>
  <c r="C146" i="6"/>
  <c r="C150" i="6"/>
  <c r="Q142" i="24" s="1"/>
  <c r="D85" i="6"/>
  <c r="D93" i="6"/>
  <c r="R85" i="24" s="1"/>
  <c r="D103" i="6"/>
  <c r="D113" i="6"/>
  <c r="D123" i="6"/>
  <c r="D133" i="6"/>
  <c r="R125" i="24" s="1"/>
  <c r="D146" i="6"/>
  <c r="D150" i="6"/>
  <c r="E85" i="6"/>
  <c r="E93" i="6"/>
  <c r="E103" i="6"/>
  <c r="E113" i="6"/>
  <c r="E123" i="6"/>
  <c r="E133" i="6"/>
  <c r="S125" i="24" s="1"/>
  <c r="E146" i="6"/>
  <c r="E150" i="6"/>
  <c r="F85" i="6"/>
  <c r="T77" i="24" s="1"/>
  <c r="F93" i="6"/>
  <c r="F103" i="6"/>
  <c r="F113" i="6"/>
  <c r="T105" i="24" s="1"/>
  <c r="F123" i="6"/>
  <c r="F133" i="6"/>
  <c r="T125" i="24" s="1"/>
  <c r="F146" i="6"/>
  <c r="F150" i="6"/>
  <c r="T142" i="24" s="1"/>
  <c r="R77" i="24"/>
  <c r="S77" i="24"/>
  <c r="Q78" i="24"/>
  <c r="R78" i="24"/>
  <c r="S78" i="24"/>
  <c r="T78" i="24"/>
  <c r="Q79" i="24"/>
  <c r="R79" i="24"/>
  <c r="S79" i="24"/>
  <c r="T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Q83" i="24"/>
  <c r="R83" i="24"/>
  <c r="S83" i="24"/>
  <c r="T83" i="24"/>
  <c r="Q84" i="24"/>
  <c r="R84" i="24"/>
  <c r="S84" i="24"/>
  <c r="T84" i="24"/>
  <c r="U84" i="24"/>
  <c r="T85" i="24"/>
  <c r="Q86" i="24"/>
  <c r="R86" i="24"/>
  <c r="S86" i="24"/>
  <c r="T86" i="24"/>
  <c r="Q87" i="24"/>
  <c r="R87" i="24"/>
  <c r="S87" i="24"/>
  <c r="T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Q96" i="24"/>
  <c r="R96" i="24"/>
  <c r="S96" i="24"/>
  <c r="T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Q110" i="24"/>
  <c r="R110" i="24"/>
  <c r="S110" i="24"/>
  <c r="T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Q115" i="24"/>
  <c r="R115" i="24"/>
  <c r="S115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Q126" i="24"/>
  <c r="R126" i="24"/>
  <c r="S126" i="24"/>
  <c r="T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Q130" i="24"/>
  <c r="R130" i="24"/>
  <c r="S130" i="24"/>
  <c r="T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Q134" i="24"/>
  <c r="R134" i="24"/>
  <c r="S134" i="24"/>
  <c r="T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R142" i="24"/>
  <c r="S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Q3" i="24" s="1"/>
  <c r="C18" i="6"/>
  <c r="C28" i="6"/>
  <c r="Q21" i="24" s="1"/>
  <c r="C38" i="6"/>
  <c r="C48" i="6"/>
  <c r="Q41" i="24" s="1"/>
  <c r="C58" i="6"/>
  <c r="C71" i="6"/>
  <c r="C75" i="6"/>
  <c r="D10" i="6"/>
  <c r="R3" i="24" s="1"/>
  <c r="D18" i="6"/>
  <c r="D28" i="6"/>
  <c r="D38" i="6"/>
  <c r="D48" i="6"/>
  <c r="R41" i="24" s="1"/>
  <c r="D58" i="6"/>
  <c r="D71" i="6"/>
  <c r="D75" i="6"/>
  <c r="R68" i="24" s="1"/>
  <c r="E10" i="6"/>
  <c r="S3" i="24" s="1"/>
  <c r="E18" i="6"/>
  <c r="E28" i="6"/>
  <c r="E38" i="6"/>
  <c r="E48" i="6"/>
  <c r="S41" i="24" s="1"/>
  <c r="E58" i="6"/>
  <c r="E71" i="6"/>
  <c r="E75" i="6"/>
  <c r="S68" i="24" s="1"/>
  <c r="E9" i="6"/>
  <c r="S2" i="24" s="1"/>
  <c r="F10" i="6"/>
  <c r="T3" i="24" s="1"/>
  <c r="F18" i="6"/>
  <c r="T11" i="24" s="1"/>
  <c r="F28" i="6"/>
  <c r="F38" i="6"/>
  <c r="T31" i="24" s="1"/>
  <c r="F48" i="6"/>
  <c r="F58" i="6"/>
  <c r="T51" i="24" s="1"/>
  <c r="F71" i="6"/>
  <c r="F75" i="6"/>
  <c r="T68" i="24" s="1"/>
  <c r="B85" i="6"/>
  <c r="P77" i="24" s="1"/>
  <c r="B93" i="6"/>
  <c r="P85" i="24" s="1"/>
  <c r="B103" i="6"/>
  <c r="P95" i="24" s="1"/>
  <c r="B113" i="6"/>
  <c r="P105" i="24" s="1"/>
  <c r="B123" i="6"/>
  <c r="P115" i="24" s="1"/>
  <c r="B133" i="6"/>
  <c r="P125" i="24" s="1"/>
  <c r="B146" i="6"/>
  <c r="B150" i="6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Q11" i="24"/>
  <c r="R11" i="24"/>
  <c r="S11" i="24"/>
  <c r="Q12" i="24"/>
  <c r="R12" i="24"/>
  <c r="S12" i="24"/>
  <c r="T12" i="24"/>
  <c r="Q13" i="24"/>
  <c r="R13" i="24"/>
  <c r="S13" i="24"/>
  <c r="T13" i="24"/>
  <c r="Q14" i="24"/>
  <c r="R14" i="24"/>
  <c r="S14" i="24"/>
  <c r="T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Q18" i="24"/>
  <c r="R18" i="24"/>
  <c r="S18" i="24"/>
  <c r="T18" i="24"/>
  <c r="Q19" i="24"/>
  <c r="R19" i="24"/>
  <c r="S19" i="24"/>
  <c r="T19" i="24"/>
  <c r="U19" i="24"/>
  <c r="Q20" i="24"/>
  <c r="R20" i="24"/>
  <c r="S20" i="24"/>
  <c r="T20" i="24"/>
  <c r="U20" i="24"/>
  <c r="S21" i="24"/>
  <c r="T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Q40" i="24"/>
  <c r="R40" i="24"/>
  <c r="S40" i="24"/>
  <c r="T40" i="24"/>
  <c r="U40" i="24"/>
  <c r="T41" i="24"/>
  <c r="Q42" i="24"/>
  <c r="R42" i="24"/>
  <c r="S42" i="24"/>
  <c r="T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Q52" i="24"/>
  <c r="R52" i="24"/>
  <c r="S52" i="24"/>
  <c r="T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Q64" i="24"/>
  <c r="R64" i="24"/>
  <c r="S64" i="24"/>
  <c r="T64" i="24"/>
  <c r="Q65" i="24"/>
  <c r="R65" i="24"/>
  <c r="S65" i="24"/>
  <c r="T65" i="24"/>
  <c r="U65" i="24"/>
  <c r="Q66" i="24"/>
  <c r="R66" i="24"/>
  <c r="S66" i="24"/>
  <c r="T66" i="24"/>
  <c r="Q67" i="24"/>
  <c r="R67" i="24"/>
  <c r="S67" i="24"/>
  <c r="T67" i="24"/>
  <c r="Q68" i="24"/>
  <c r="Q69" i="24"/>
  <c r="R69" i="24"/>
  <c r="S69" i="24"/>
  <c r="T69" i="24"/>
  <c r="U69" i="24"/>
  <c r="Q70" i="24"/>
  <c r="R70" i="24"/>
  <c r="S70" i="24"/>
  <c r="T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Q75" i="24"/>
  <c r="R75" i="24"/>
  <c r="S75" i="24"/>
  <c r="T75" i="24"/>
  <c r="U75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7" i="20"/>
  <c r="U8" i="20"/>
  <c r="U9" i="20"/>
  <c r="U12" i="20"/>
  <c r="U13" i="20"/>
  <c r="U16" i="20"/>
  <c r="U17" i="20"/>
  <c r="U20" i="20"/>
  <c r="U21" i="20"/>
  <c r="U23" i="20"/>
  <c r="U24" i="20"/>
  <c r="U25" i="20"/>
  <c r="U26" i="20"/>
  <c r="U27" i="20"/>
  <c r="U30" i="20"/>
  <c r="U31" i="20"/>
  <c r="U32" i="20"/>
  <c r="G46" i="5"/>
  <c r="U38" i="20" s="1"/>
  <c r="G47" i="5"/>
  <c r="G48" i="5"/>
  <c r="G45" i="5" s="1"/>
  <c r="G49" i="5"/>
  <c r="U41" i="20" s="1"/>
  <c r="G50" i="5"/>
  <c r="U42" i="20" s="1"/>
  <c r="G51" i="5"/>
  <c r="G52" i="5"/>
  <c r="U44" i="20" s="1"/>
  <c r="G53" i="5"/>
  <c r="U45" i="20" s="1"/>
  <c r="U39" i="20"/>
  <c r="U40" i="20"/>
  <c r="U43" i="20"/>
  <c r="G55" i="5"/>
  <c r="G56" i="5"/>
  <c r="U48" i="20" s="1"/>
  <c r="G57" i="5"/>
  <c r="U49" i="20" s="1"/>
  <c r="G58" i="5"/>
  <c r="U50" i="20" s="1"/>
  <c r="U47" i="20"/>
  <c r="G60" i="5"/>
  <c r="G61" i="5"/>
  <c r="U53" i="20"/>
  <c r="G62" i="5"/>
  <c r="U54" i="20" s="1"/>
  <c r="G63" i="5"/>
  <c r="U55" i="20" s="1"/>
  <c r="G68" i="5"/>
  <c r="G73" i="5"/>
  <c r="U60" i="20" s="1"/>
  <c r="G74" i="5"/>
  <c r="U61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 s="1"/>
  <c r="E16" i="5"/>
  <c r="S10" i="20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 s="1"/>
  <c r="E35" i="5"/>
  <c r="S29" i="20"/>
  <c r="F35" i="5"/>
  <c r="T29" i="20" s="1"/>
  <c r="Q30" i="20"/>
  <c r="R30" i="20"/>
  <c r="S30" i="20"/>
  <c r="T30" i="20"/>
  <c r="C37" i="5"/>
  <c r="Q31" i="20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C45" i="5"/>
  <c r="Q37" i="20" s="1"/>
  <c r="D45" i="5"/>
  <c r="R37" i="20" s="1"/>
  <c r="E45" i="5"/>
  <c r="S37" i="20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7" i="5"/>
  <c r="Q57" i="20" s="1"/>
  <c r="D67" i="5"/>
  <c r="R57" i="20" s="1"/>
  <c r="E67" i="5"/>
  <c r="S57" i="20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B45" i="5"/>
  <c r="B54" i="5"/>
  <c r="B59" i="5"/>
  <c r="B65" i="5" s="1"/>
  <c r="P56" i="20" s="1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2" i="20"/>
  <c r="P53" i="20"/>
  <c r="P54" i="20"/>
  <c r="P55" i="20"/>
  <c r="P37" i="20"/>
  <c r="B16" i="5"/>
  <c r="B28" i="5"/>
  <c r="B35" i="5"/>
  <c r="B37" i="5"/>
  <c r="P31" i="20" s="1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Q67" i="15" s="1"/>
  <c r="D20" i="23"/>
  <c r="B6" i="1" s="1"/>
  <c r="F18" i="23"/>
  <c r="K6" i="3" s="1"/>
  <c r="E18" i="23"/>
  <c r="J6" i="3" s="1"/>
  <c r="D18" i="23"/>
  <c r="I6" i="3" s="1"/>
  <c r="F6" i="1"/>
  <c r="E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H23" i="23"/>
  <c r="F6" i="11"/>
  <c r="G23" i="23"/>
  <c r="E6" i="11" s="1"/>
  <c r="F23" i="23"/>
  <c r="D6" i="11" s="1"/>
  <c r="E23" i="23"/>
  <c r="F6" i="10"/>
  <c r="E6" i="10"/>
  <c r="D6" i="10"/>
  <c r="B6" i="10"/>
  <c r="G5" i="13"/>
  <c r="G5" i="12"/>
  <c r="C11" i="23"/>
  <c r="A2" i="13" s="1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W4" i="17" s="1"/>
  <c r="I8" i="3"/>
  <c r="W3" i="17" s="1"/>
  <c r="H14" i="3"/>
  <c r="V4" i="17" s="1"/>
  <c r="G14" i="3"/>
  <c r="E14" i="3"/>
  <c r="S4" i="17" s="1"/>
  <c r="K9" i="3"/>
  <c r="K10" i="3"/>
  <c r="K11" i="3"/>
  <c r="K12" i="3"/>
  <c r="J8" i="3"/>
  <c r="H8" i="3"/>
  <c r="H20" i="3" s="1"/>
  <c r="V5" i="17" s="1"/>
  <c r="G8" i="3"/>
  <c r="G20" i="3" s="1"/>
  <c r="U5" i="17" s="1"/>
  <c r="E8" i="3"/>
  <c r="S3" i="17" s="1"/>
  <c r="F41" i="2"/>
  <c r="T17" i="16" s="1"/>
  <c r="E41" i="2"/>
  <c r="D41" i="2"/>
  <c r="R17" i="16" s="1"/>
  <c r="C41" i="2"/>
  <c r="H27" i="2"/>
  <c r="V15" i="16" s="1"/>
  <c r="G27" i="2"/>
  <c r="U15" i="16" s="1"/>
  <c r="F27" i="2"/>
  <c r="E27" i="2"/>
  <c r="S15" i="16" s="1"/>
  <c r="D27" i="2"/>
  <c r="R15" i="16" s="1"/>
  <c r="C27" i="2"/>
  <c r="Q15" i="16" s="1"/>
  <c r="B41" i="2"/>
  <c r="B27" i="2"/>
  <c r="P15" i="16" s="1"/>
  <c r="H22" i="2"/>
  <c r="V14" i="16" s="1"/>
  <c r="G22" i="2"/>
  <c r="U14" i="16" s="1"/>
  <c r="F22" i="2"/>
  <c r="E22" i="2"/>
  <c r="S14" i="16" s="1"/>
  <c r="D22" i="2"/>
  <c r="R14" i="16" s="1"/>
  <c r="C22" i="2"/>
  <c r="B22" i="2"/>
  <c r="P14" i="16" s="1"/>
  <c r="E20" i="3"/>
  <c r="S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B63" i="4"/>
  <c r="P32" i="18" s="1"/>
  <c r="B55" i="4"/>
  <c r="B53" i="4"/>
  <c r="B49" i="4"/>
  <c r="P27" i="18" s="1"/>
  <c r="B48" i="4"/>
  <c r="P26" i="18" s="1"/>
  <c r="B37" i="4"/>
  <c r="B8" i="4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0" i="18"/>
  <c r="P28" i="18"/>
  <c r="P29" i="18"/>
  <c r="P20" i="18"/>
  <c r="P21" i="18"/>
  <c r="P22" i="18"/>
  <c r="P23" i="18"/>
  <c r="P24" i="18"/>
  <c r="P19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F27" i="1"/>
  <c r="F31" i="1"/>
  <c r="Q80" i="15" s="1"/>
  <c r="F38" i="1"/>
  <c r="Q87" i="15" s="1"/>
  <c r="F42" i="1"/>
  <c r="F63" i="1"/>
  <c r="Q106" i="15" s="1"/>
  <c r="Q107" i="15"/>
  <c r="Q108" i="15"/>
  <c r="Q109" i="15"/>
  <c r="F68" i="1"/>
  <c r="Q110" i="15"/>
  <c r="Q111" i="15"/>
  <c r="Q112" i="15"/>
  <c r="Q113" i="15"/>
  <c r="Q114" i="15"/>
  <c r="Q115" i="15"/>
  <c r="F75" i="1"/>
  <c r="Q116" i="15" s="1"/>
  <c r="Q117" i="15"/>
  <c r="Q118" i="15"/>
  <c r="F79" i="1"/>
  <c r="Q119" i="15" s="1"/>
  <c r="E9" i="1"/>
  <c r="E19" i="1"/>
  <c r="P67" i="15" s="1"/>
  <c r="E23" i="1"/>
  <c r="E27" i="1"/>
  <c r="E31" i="1"/>
  <c r="P80" i="15" s="1"/>
  <c r="E38" i="1"/>
  <c r="P87" i="15" s="1"/>
  <c r="E42" i="1"/>
  <c r="P91" i="15" s="1"/>
  <c r="E57" i="1"/>
  <c r="P103" i="15" s="1"/>
  <c r="E63" i="1"/>
  <c r="E68" i="1"/>
  <c r="E75" i="1"/>
  <c r="P116" i="15" s="1"/>
  <c r="E79" i="1"/>
  <c r="P119" i="15" s="1"/>
  <c r="P117" i="15"/>
  <c r="P118" i="15"/>
  <c r="P111" i="15"/>
  <c r="P112" i="15"/>
  <c r="P113" i="15"/>
  <c r="P114" i="15"/>
  <c r="P115" i="15"/>
  <c r="P110" i="15"/>
  <c r="P107" i="15"/>
  <c r="P108" i="15"/>
  <c r="P109" i="15"/>
  <c r="P106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P57" i="15"/>
  <c r="Q33" i="15"/>
  <c r="P33" i="15"/>
  <c r="A33" i="15"/>
  <c r="A55" i="15"/>
  <c r="C9" i="1"/>
  <c r="Q4" i="15" s="1"/>
  <c r="C17" i="1"/>
  <c r="Q12" i="15" s="1"/>
  <c r="C25" i="1"/>
  <c r="Q20" i="15" s="1"/>
  <c r="C31" i="1"/>
  <c r="Q26" i="15" s="1"/>
  <c r="C38" i="1"/>
  <c r="Q34" i="15" s="1"/>
  <c r="C41" i="1"/>
  <c r="Q37" i="15" s="1"/>
  <c r="C60" i="1"/>
  <c r="Q53" i="15" s="1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R37" i="18" s="1"/>
  <c r="C68" i="4"/>
  <c r="Q36" i="18" s="1"/>
  <c r="D68" i="4"/>
  <c r="C64" i="4"/>
  <c r="D64" i="4"/>
  <c r="R33" i="18" s="1"/>
  <c r="C63" i="4"/>
  <c r="D63" i="4"/>
  <c r="C48" i="4"/>
  <c r="Q26" i="18" s="1"/>
  <c r="C55" i="4"/>
  <c r="Q31" i="18" s="1"/>
  <c r="D55" i="4"/>
  <c r="C53" i="4"/>
  <c r="D53" i="4"/>
  <c r="R30" i="18" s="1"/>
  <c r="D48" i="4"/>
  <c r="C49" i="4"/>
  <c r="Q27" i="18" s="1"/>
  <c r="D49" i="4"/>
  <c r="R27" i="18" s="1"/>
  <c r="C29" i="4"/>
  <c r="D29" i="4"/>
  <c r="R15" i="18" s="1"/>
  <c r="C40" i="4"/>
  <c r="Q22" i="18" s="1"/>
  <c r="D40" i="4"/>
  <c r="R22" i="18" s="1"/>
  <c r="C37" i="4"/>
  <c r="D37" i="4"/>
  <c r="R19" i="18" s="1"/>
  <c r="C17" i="4"/>
  <c r="Q9" i="18" s="1"/>
  <c r="C13" i="4"/>
  <c r="D13" i="4"/>
  <c r="R6" i="18" s="1"/>
  <c r="U4" i="17"/>
  <c r="S17" i="16"/>
  <c r="Q17" i="16"/>
  <c r="P17" i="16"/>
  <c r="T15" i="16"/>
  <c r="Q14" i="16"/>
  <c r="C13" i="2"/>
  <c r="Q8" i="16" s="1"/>
  <c r="D13" i="2"/>
  <c r="R8" i="16" s="1"/>
  <c r="E13" i="2"/>
  <c r="S8" i="16" s="1"/>
  <c r="F13" i="2"/>
  <c r="T8" i="16" s="1"/>
  <c r="G13" i="2"/>
  <c r="H13" i="2"/>
  <c r="V8" i="16" s="1"/>
  <c r="B13" i="2"/>
  <c r="P8" i="16" s="1"/>
  <c r="C9" i="2"/>
  <c r="C8" i="2" s="1"/>
  <c r="C20" i="2" s="1"/>
  <c r="Q13" i="16" s="1"/>
  <c r="D9" i="2"/>
  <c r="R4" i="16"/>
  <c r="E9" i="2"/>
  <c r="S4" i="16" s="1"/>
  <c r="F9" i="2"/>
  <c r="T4" i="16" s="1"/>
  <c r="G9" i="2"/>
  <c r="U4" i="16" s="1"/>
  <c r="H9" i="2"/>
  <c r="V4" i="16"/>
  <c r="B9" i="2"/>
  <c r="P4" i="15"/>
  <c r="Q6" i="18"/>
  <c r="Q30" i="18"/>
  <c r="R32" i="18"/>
  <c r="R36" i="18"/>
  <c r="R31" i="18"/>
  <c r="Q32" i="18"/>
  <c r="R26" i="18"/>
  <c r="Q19" i="18"/>
  <c r="Q15" i="18"/>
  <c r="Q33" i="18"/>
  <c r="U8" i="16"/>
  <c r="F8" i="2"/>
  <c r="T3" i="16" s="1"/>
  <c r="C8" i="4"/>
  <c r="Q3" i="16"/>
  <c r="V3" i="17"/>
  <c r="U3" i="17"/>
  <c r="C29" i="7" l="1"/>
  <c r="Q4" i="25" s="1"/>
  <c r="C29" i="13"/>
  <c r="Q22" i="31" s="1"/>
  <c r="R2" i="31"/>
  <c r="Q2" i="31"/>
  <c r="F31" i="12"/>
  <c r="T23" i="30" s="1"/>
  <c r="B21" i="9"/>
  <c r="P13" i="27" s="1"/>
  <c r="F21" i="9"/>
  <c r="F33" i="9" s="1"/>
  <c r="T24" i="27" s="1"/>
  <c r="D21" i="9"/>
  <c r="R13" i="27" s="1"/>
  <c r="G24" i="9"/>
  <c r="U16" i="27" s="1"/>
  <c r="R16" i="27"/>
  <c r="U11" i="27"/>
  <c r="T9" i="27"/>
  <c r="U6" i="27"/>
  <c r="D43" i="8"/>
  <c r="B43" i="8"/>
  <c r="P35" i="26" s="1"/>
  <c r="R45" i="26"/>
  <c r="F9" i="8"/>
  <c r="T2" i="26" s="1"/>
  <c r="E9" i="8"/>
  <c r="S2" i="26" s="1"/>
  <c r="S12" i="26"/>
  <c r="G146" i="6"/>
  <c r="U138" i="24" s="1"/>
  <c r="G137" i="6"/>
  <c r="U129" i="24" s="1"/>
  <c r="G133" i="6"/>
  <c r="U125" i="24" s="1"/>
  <c r="G123" i="6"/>
  <c r="U115" i="24" s="1"/>
  <c r="G113" i="6"/>
  <c r="U105" i="24" s="1"/>
  <c r="G93" i="6"/>
  <c r="U85" i="24" s="1"/>
  <c r="U70" i="24"/>
  <c r="G71" i="6"/>
  <c r="U64" i="24" s="1"/>
  <c r="G62" i="6"/>
  <c r="U55" i="24" s="1"/>
  <c r="U52" i="24"/>
  <c r="U35" i="24"/>
  <c r="G28" i="6"/>
  <c r="U21" i="24" s="1"/>
  <c r="D9" i="6"/>
  <c r="R2" i="24" s="1"/>
  <c r="C9" i="6"/>
  <c r="Q2" i="24" s="1"/>
  <c r="G10" i="6"/>
  <c r="U3" i="24" s="1"/>
  <c r="G75" i="5"/>
  <c r="U62" i="20" s="1"/>
  <c r="C65" i="5"/>
  <c r="Q56" i="20" s="1"/>
  <c r="G59" i="5"/>
  <c r="U51" i="20" s="1"/>
  <c r="P51" i="20"/>
  <c r="E65" i="5"/>
  <c r="S56" i="20" s="1"/>
  <c r="C70" i="5"/>
  <c r="G28" i="5"/>
  <c r="U22" i="20" s="1"/>
  <c r="E41" i="5"/>
  <c r="S34" i="20" s="1"/>
  <c r="U11" i="20"/>
  <c r="D72" i="4"/>
  <c r="R38" i="18" s="1"/>
  <c r="D44" i="4"/>
  <c r="D8" i="4" s="1"/>
  <c r="R2" i="18" s="1"/>
  <c r="C44" i="4"/>
  <c r="Q25" i="18" s="1"/>
  <c r="B44" i="4"/>
  <c r="P25" i="18" s="1"/>
  <c r="R25" i="18"/>
  <c r="C72" i="4"/>
  <c r="D57" i="4"/>
  <c r="D59" i="4" s="1"/>
  <c r="B72" i="4"/>
  <c r="D21" i="4"/>
  <c r="D23" i="4" s="1"/>
  <c r="R13" i="18" s="1"/>
  <c r="Q2" i="25"/>
  <c r="E29" i="7"/>
  <c r="S4" i="25" s="1"/>
  <c r="K14" i="3"/>
  <c r="Y4" i="17" s="1"/>
  <c r="J20" i="3"/>
  <c r="X5" i="17" s="1"/>
  <c r="X3" i="17"/>
  <c r="K8" i="3"/>
  <c r="Y3" i="17" s="1"/>
  <c r="T14" i="16"/>
  <c r="H8" i="2"/>
  <c r="H20" i="2" s="1"/>
  <c r="V13" i="16" s="1"/>
  <c r="B8" i="2"/>
  <c r="P3" i="16" s="1"/>
  <c r="F20" i="2"/>
  <c r="T13" i="16" s="1"/>
  <c r="A2" i="10"/>
  <c r="A2" i="11"/>
  <c r="A2" i="12"/>
  <c r="A2" i="14"/>
  <c r="A2" i="9"/>
  <c r="A2" i="7"/>
  <c r="A2" i="2"/>
  <c r="A2" i="5"/>
  <c r="A2" i="1"/>
  <c r="A2" i="4"/>
  <c r="A2" i="6"/>
  <c r="A2" i="8"/>
  <c r="A2" i="3"/>
  <c r="Q38" i="18"/>
  <c r="C74" i="4"/>
  <c r="Q39" i="18" s="1"/>
  <c r="C21" i="4"/>
  <c r="Q2" i="18"/>
  <c r="D25" i="4"/>
  <c r="Q5" i="18"/>
  <c r="B47" i="1"/>
  <c r="C47" i="1"/>
  <c r="G67" i="5"/>
  <c r="U57" i="20" s="1"/>
  <c r="U58" i="20"/>
  <c r="B20" i="2"/>
  <c r="P13" i="16" s="1"/>
  <c r="C57" i="4"/>
  <c r="C59" i="4" s="1"/>
  <c r="D8" i="2"/>
  <c r="G8" i="2"/>
  <c r="F47" i="1"/>
  <c r="G6" i="11"/>
  <c r="G6" i="10"/>
  <c r="B41" i="5"/>
  <c r="D65" i="5"/>
  <c r="R56" i="20" s="1"/>
  <c r="D41" i="5"/>
  <c r="U52" i="20"/>
  <c r="D74" i="4"/>
  <c r="R39" i="18" s="1"/>
  <c r="E47" i="1"/>
  <c r="V3" i="16"/>
  <c r="R5" i="18"/>
  <c r="E8" i="2"/>
  <c r="P4" i="16"/>
  <c r="Q4" i="16"/>
  <c r="P5" i="18"/>
  <c r="B57" i="4"/>
  <c r="B59" i="4" s="1"/>
  <c r="I20" i="3"/>
  <c r="W5" i="17" s="1"/>
  <c r="F65" i="5"/>
  <c r="T56" i="20" s="1"/>
  <c r="F41" i="5"/>
  <c r="U37" i="20"/>
  <c r="B21" i="4"/>
  <c r="P2" i="18"/>
  <c r="C6" i="11"/>
  <c r="C6" i="10"/>
  <c r="D84" i="6"/>
  <c r="R76" i="24" s="1"/>
  <c r="B9" i="9"/>
  <c r="P2" i="27" s="1"/>
  <c r="P9" i="27"/>
  <c r="D32" i="10"/>
  <c r="R23" i="28" s="1"/>
  <c r="R21" i="28"/>
  <c r="B9" i="6"/>
  <c r="G9" i="7"/>
  <c r="U64" i="26"/>
  <c r="G71" i="8"/>
  <c r="U63" i="26" s="1"/>
  <c r="B84" i="6"/>
  <c r="P76" i="24" s="1"/>
  <c r="F9" i="6"/>
  <c r="Q85" i="24"/>
  <c r="C84" i="6"/>
  <c r="Q76" i="24" s="1"/>
  <c r="B29" i="7"/>
  <c r="P4" i="25" s="1"/>
  <c r="R35" i="26"/>
  <c r="R9" i="27"/>
  <c r="D9" i="9"/>
  <c r="R2" i="27" s="1"/>
  <c r="G31" i="12"/>
  <c r="U23" i="30" s="1"/>
  <c r="U15" i="30"/>
  <c r="C31" i="12"/>
  <c r="Q23" i="30" s="1"/>
  <c r="Q15" i="30"/>
  <c r="U2" i="31"/>
  <c r="G29" i="13"/>
  <c r="U22" i="31" s="1"/>
  <c r="G41" i="5"/>
  <c r="G18" i="6"/>
  <c r="G85" i="6"/>
  <c r="U79" i="24"/>
  <c r="G103" i="6"/>
  <c r="U95" i="24" s="1"/>
  <c r="G10" i="8"/>
  <c r="U40" i="26"/>
  <c r="G44" i="8"/>
  <c r="G53" i="8"/>
  <c r="U45" i="26" s="1"/>
  <c r="U48" i="26"/>
  <c r="G61" i="8"/>
  <c r="U53" i="26" s="1"/>
  <c r="U57" i="26"/>
  <c r="P29" i="20"/>
  <c r="G54" i="5"/>
  <c r="U46" i="20" s="1"/>
  <c r="P21" i="24"/>
  <c r="R21" i="24"/>
  <c r="U14" i="24"/>
  <c r="U130" i="24"/>
  <c r="F84" i="6"/>
  <c r="T76" i="24" s="1"/>
  <c r="D29" i="7"/>
  <c r="R4" i="25" s="1"/>
  <c r="F29" i="7"/>
  <c r="T4" i="25" s="1"/>
  <c r="B9" i="8"/>
  <c r="P2" i="26" s="1"/>
  <c r="T13" i="27"/>
  <c r="F32" i="10"/>
  <c r="T23" i="28" s="1"/>
  <c r="T21" i="28"/>
  <c r="D30" i="11"/>
  <c r="R22" i="29" s="1"/>
  <c r="R2" i="29"/>
  <c r="G19" i="8"/>
  <c r="U12" i="26" s="1"/>
  <c r="E84" i="6"/>
  <c r="S76" i="24" s="1"/>
  <c r="S85" i="24"/>
  <c r="T45" i="26"/>
  <c r="F43" i="8"/>
  <c r="E43" i="8"/>
  <c r="U6" i="26"/>
  <c r="Q12" i="26"/>
  <c r="C9" i="8"/>
  <c r="Q2" i="26" s="1"/>
  <c r="Q13" i="27"/>
  <c r="S9" i="27"/>
  <c r="E9" i="9"/>
  <c r="S2" i="27" s="1"/>
  <c r="C9" i="9"/>
  <c r="Q2" i="27" s="1"/>
  <c r="Q9" i="27"/>
  <c r="R2" i="30"/>
  <c r="D31" i="12"/>
  <c r="R23" i="30" s="1"/>
  <c r="F29" i="13"/>
  <c r="T22" i="31" s="1"/>
  <c r="T12" i="31"/>
  <c r="B29" i="13"/>
  <c r="P22" i="31" s="1"/>
  <c r="P12" i="31"/>
  <c r="G37" i="8"/>
  <c r="U30" i="26" s="1"/>
  <c r="G9" i="9"/>
  <c r="U2" i="27" s="1"/>
  <c r="U15" i="27"/>
  <c r="G21" i="9"/>
  <c r="S45" i="26"/>
  <c r="C43" i="8"/>
  <c r="T12" i="26"/>
  <c r="D9" i="8"/>
  <c r="R2" i="26" s="1"/>
  <c r="B32" i="10"/>
  <c r="P23" i="28" s="1"/>
  <c r="G32" i="10"/>
  <c r="U23" i="28" s="1"/>
  <c r="E32" i="10"/>
  <c r="S23" i="28" s="1"/>
  <c r="C32" i="10"/>
  <c r="Q23" i="28" s="1"/>
  <c r="P2" i="29"/>
  <c r="T2" i="30"/>
  <c r="P16" i="27"/>
  <c r="T2" i="29"/>
  <c r="P2" i="30"/>
  <c r="D33" i="9" l="1"/>
  <c r="R24" i="27" s="1"/>
  <c r="B33" i="9"/>
  <c r="P24" i="27" s="1"/>
  <c r="E70" i="5"/>
  <c r="R12" i="18"/>
  <c r="P38" i="18"/>
  <c r="B74" i="4"/>
  <c r="P39" i="18" s="1"/>
  <c r="K20" i="3"/>
  <c r="Y5" i="17" s="1"/>
  <c r="Q35" i="26"/>
  <c r="C77" i="8"/>
  <c r="Q68" i="26" s="1"/>
  <c r="U77" i="24"/>
  <c r="G84" i="6"/>
  <c r="U76" i="24" s="1"/>
  <c r="R34" i="20"/>
  <c r="D70" i="5"/>
  <c r="C62" i="1"/>
  <c r="Q54" i="15" s="1"/>
  <c r="Q42" i="15"/>
  <c r="E33" i="9"/>
  <c r="S24" i="27" s="1"/>
  <c r="S35" i="26"/>
  <c r="E77" i="8"/>
  <c r="S68" i="26" s="1"/>
  <c r="G9" i="8"/>
  <c r="U2" i="26" s="1"/>
  <c r="U3" i="26"/>
  <c r="U11" i="24"/>
  <c r="G9" i="6"/>
  <c r="T2" i="24"/>
  <c r="F159" i="6"/>
  <c r="T150" i="24" s="1"/>
  <c r="G29" i="7"/>
  <c r="U4" i="25" s="1"/>
  <c r="U2" i="25"/>
  <c r="D77" i="8"/>
  <c r="R68" i="26" s="1"/>
  <c r="B23" i="4"/>
  <c r="P12" i="18"/>
  <c r="T34" i="20"/>
  <c r="F70" i="5"/>
  <c r="S3" i="16"/>
  <c r="E20" i="2"/>
  <c r="S13" i="16" s="1"/>
  <c r="C159" i="6"/>
  <c r="Q150" i="24" s="1"/>
  <c r="Q95" i="15"/>
  <c r="F59" i="1"/>
  <c r="B62" i="1"/>
  <c r="P54" i="15" s="1"/>
  <c r="P42" i="15"/>
  <c r="Q12" i="18"/>
  <c r="C23" i="4"/>
  <c r="F77" i="8"/>
  <c r="T68" i="26" s="1"/>
  <c r="T35" i="26"/>
  <c r="G42" i="5"/>
  <c r="U35" i="20" s="1"/>
  <c r="U34" i="20"/>
  <c r="P2" i="24"/>
  <c r="B159" i="6"/>
  <c r="P150" i="24" s="1"/>
  <c r="E159" i="6"/>
  <c r="S150" i="24" s="1"/>
  <c r="D159" i="6"/>
  <c r="R150" i="24" s="1"/>
  <c r="P34" i="20"/>
  <c r="B70" i="5"/>
  <c r="G20" i="2"/>
  <c r="U13" i="16" s="1"/>
  <c r="U3" i="16"/>
  <c r="G33" i="9"/>
  <c r="U24" i="27" s="1"/>
  <c r="U13" i="27"/>
  <c r="U36" i="26"/>
  <c r="G43" i="8"/>
  <c r="C33" i="9"/>
  <c r="Q24" i="27" s="1"/>
  <c r="B77" i="8"/>
  <c r="P68" i="26" s="1"/>
  <c r="G65" i="5"/>
  <c r="U56" i="20" s="1"/>
  <c r="E59" i="1"/>
  <c r="P95" i="15"/>
  <c r="R3" i="16"/>
  <c r="D20" i="2"/>
  <c r="R13" i="16" s="1"/>
  <c r="D33" i="4"/>
  <c r="R18" i="18" s="1"/>
  <c r="R14" i="18"/>
  <c r="G159" i="6" l="1"/>
  <c r="U150" i="24" s="1"/>
  <c r="U2" i="24"/>
  <c r="E81" i="1"/>
  <c r="P120" i="15" s="1"/>
  <c r="P104" i="15"/>
  <c r="G77" i="8"/>
  <c r="U68" i="26" s="1"/>
  <c r="U35" i="26"/>
  <c r="G70" i="5"/>
  <c r="C25" i="4"/>
  <c r="Q13" i="18"/>
  <c r="F81" i="1"/>
  <c r="Q120" i="15" s="1"/>
  <c r="Q104" i="15"/>
  <c r="P13" i="18"/>
  <c r="B25" i="4"/>
  <c r="C33" i="4" l="1"/>
  <c r="Q18" i="18" s="1"/>
  <c r="Q14" i="18"/>
  <c r="B33" i="4"/>
  <c r="P18" i="18" s="1"/>
  <c r="P14" i="18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<sst xmlns="http://schemas.openxmlformats.org/spreadsheetml/2006/main" count="4243" uniqueCount="3305">
  <si>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</si>
  <si>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</si>
  <si>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</si>
  <si>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</si>
  <si>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</si>
  <si>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</si>
  <si>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</si>
  <si>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</si>
  <si>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</si>
  <si>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</si>
  <si>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</si>
  <si>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</si>
  <si>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</si>
  <si>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</si>
  <si>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</si>
  <si>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</si>
  <si>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</si>
  <si>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</si>
  <si>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</si>
  <si>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</si>
  <si>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</si>
  <si>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</si>
  <si>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</si>
  <si>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</si>
  <si>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</si>
  <si>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</si>
  <si>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</si>
  <si>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</si>
  <si>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</si>
  <si>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</si>
  <si>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</si>
  <si>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</si>
  <si>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</si>
  <si>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</si>
  <si>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</si>
  <si>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</si>
  <si>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</si>
  <si>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</si>
  <si>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</si>
  <si>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</si>
  <si>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</si>
  <si>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</si>
  <si>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</si>
  <si>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</si>
  <si>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</si>
  <si>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</si>
  <si>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</si>
  <si>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</si>
  <si>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</si>
  <si>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</si>
  <si>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</si>
  <si>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</si>
  <si>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</si>
  <si>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</si>
  <si>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</si>
  <si>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</si>
  <si>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</si>
  <si>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</si>
  <si>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</si>
  <si>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</si>
  <si>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</si>
  <si>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</si>
  <si>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</si>
  <si>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</si>
  <si>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</si>
  <si>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</si>
  <si>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</si>
  <si>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</si>
  <si>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</si>
  <si>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</si>
  <si>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</si>
  <si>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</si>
  <si>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</si>
  <si>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</si>
  <si>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</si>
  <si>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</si>
  <si>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</si>
  <si>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</si>
  <si>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</si>
  <si>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</si>
  <si>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</si>
  <si>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</si>
  <si>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</si>
  <si>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</si>
  <si>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</si>
  <si>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</si>
  <si>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</si>
  <si>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</si>
  <si>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</si>
  <si>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</si>
  <si>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</si>
  <si>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</si>
  <si>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</si>
  <si>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</si>
  <si>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</si>
  <si>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</si>
  <si>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</si>
  <si>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</si>
  <si>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</si>
  <si>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</si>
  <si>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</si>
  <si>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</si>
  <si>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</si>
  <si>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</si>
  <si>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</si>
  <si>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</si>
  <si>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</si>
  <si>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</si>
  <si>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</si>
  <si>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</si>
  <si>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</si>
  <si>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</si>
  <si>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</si>
  <si>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</si>
  <si>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</si>
  <si>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</si>
  <si>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</si>
  <si>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</si>
  <si>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</si>
  <si>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</si>
  <si>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</si>
  <si>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</si>
  <si>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</si>
  <si>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</si>
  <si>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</si>
  <si>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</si>
  <si>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</si>
  <si>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</si>
  <si>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</si>
  <si>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</si>
  <si>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</si>
  <si>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</si>
  <si>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</si>
  <si>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</si>
  <si>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</si>
  <si>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</si>
  <si>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</si>
  <si>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</si>
  <si>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</si>
  <si>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</si>
  <si>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</si>
  <si>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</si>
  <si>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</si>
  <si>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</si>
  <si>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</si>
  <si>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</si>
  <si>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</si>
  <si>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</si>
  <si>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</si>
  <si>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</si>
  <si>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</si>
  <si>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</si>
  <si>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</si>
  <si>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</si>
  <si>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</si>
  <si>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</si>
  <si>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</si>
  <si>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</si>
  <si>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</si>
  <si>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</si>
  <si>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</si>
  <si>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</si>
  <si>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</si>
  <si>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</si>
  <si>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</si>
  <si>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</si>
  <si>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</si>
  <si>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</si>
  <si>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</si>
  <si>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</si>
  <si>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</si>
  <si>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</si>
  <si>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</si>
  <si>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</si>
  <si>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</si>
  <si>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</si>
  <si>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</si>
  <si>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</si>
  <si>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</si>
  <si>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</si>
  <si>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</si>
  <si>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</si>
  <si>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</si>
  <si>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</si>
  <si>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</si>
  <si>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</si>
  <si>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</si>
  <si>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</si>
  <si>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</si>
  <si>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</si>
  <si>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</si>
  <si>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</si>
  <si>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</si>
  <si>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</si>
  <si>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</si>
  <si>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</si>
  <si>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</si>
  <si>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</si>
  <si>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</si>
  <si>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</si>
  <si>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</si>
  <si>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</si>
  <si>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</si>
  <si>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</si>
  <si>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</si>
  <si>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</si>
  <si>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</si>
  <si>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</si>
  <si>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</si>
  <si>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</si>
  <si>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</si>
  <si>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</si>
  <si>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</si>
  <si>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</si>
  <si>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</si>
  <si>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</si>
  <si>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</si>
  <si>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</si>
  <si>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</si>
  <si>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</si>
  <si>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</si>
  <si>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</si>
  <si>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</si>
  <si>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</si>
  <si>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</si>
  <si>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</si>
  <si>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</si>
  <si>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</si>
  <si>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</si>
  <si>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</si>
  <si>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</si>
  <si>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</si>
  <si>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</si>
  <si>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</si>
  <si>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</si>
  <si>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</si>
  <si>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</si>
  <si>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</si>
  <si>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</si>
  <si>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</si>
  <si>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</si>
  <si>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</si>
  <si>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</si>
  <si>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</si>
  <si>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</si>
  <si>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</si>
  <si>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</si>
  <si>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</si>
  <si>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</si>
  <si>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</si>
  <si>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</si>
  <si>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</si>
  <si>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</si>
  <si>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</si>
  <si>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</si>
  <si>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</si>
  <si>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</si>
  <si>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</si>
  <si>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</si>
  <si>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</si>
  <si>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</si>
  <si>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</si>
  <si>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</si>
  <si>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</si>
  <si>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</si>
  <si>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</si>
  <si>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</si>
  <si>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</si>
  <si>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</si>
  <si>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</si>
  <si>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</si>
  <si>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</si>
  <si>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</si>
  <si>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</si>
  <si>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</si>
  <si>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</si>
  <si>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</si>
  <si>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</si>
  <si>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</si>
  <si>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</si>
  <si>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</si>
  <si>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</si>
  <si>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</si>
  <si>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</si>
  <si>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</si>
  <si>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</si>
  <si>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</si>
  <si>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</si>
  <si>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</si>
  <si>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</si>
  <si>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</si>
  <si>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</si>
  <si>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</si>
  <si>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</si>
  <si>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</si>
  <si>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</si>
  <si>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</si>
  <si>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</si>
  <si>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</si>
  <si>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</si>
  <si>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</si>
  <si>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</si>
  <si>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</si>
  <si>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</si>
  <si>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</si>
  <si>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</si>
  <si>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</si>
  <si>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</si>
  <si>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</si>
  <si>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</si>
  <si>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</si>
  <si>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</si>
  <si>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</si>
  <si>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</si>
  <si>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</si>
  <si>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</si>
  <si>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</si>
  <si>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</si>
  <si>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</si>
  <si>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</si>
  <si>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</si>
  <si>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</si>
  <si>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</si>
  <si>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</si>
  <si>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</si>
  <si>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</si>
  <si>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</si>
  <si>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</si>
  <si>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</si>
  <si>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</si>
  <si>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</si>
  <si>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</si>
  <si>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</si>
  <si>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</si>
  <si>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</si>
  <si>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</si>
  <si>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</si>
  <si>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</si>
  <si>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</si>
  <si>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</si>
  <si>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</si>
  <si>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</si>
  <si>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</si>
  <si>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</si>
  <si>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</si>
  <si>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</si>
  <si>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</si>
  <si>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</si>
  <si>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</si>
  <si>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</si>
  <si>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</si>
  <si>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</si>
  <si>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</si>
  <si>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</si>
  <si>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</si>
  <si>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</si>
  <si>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</si>
  <si>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</si>
  <si>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</si>
  <si>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</si>
  <si>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</si>
  <si>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</si>
  <si>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</si>
  <si>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</si>
  <si>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</si>
  <si>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</si>
  <si>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</si>
  <si>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</si>
  <si>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</si>
  <si>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</si>
  <si>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</si>
  <si>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</si>
  <si>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</si>
  <si>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</si>
  <si>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</si>
  <si>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</si>
  <si>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</si>
  <si>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</si>
  <si>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</si>
  <si>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</si>
  <si>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</si>
  <si>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</si>
  <si>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</si>
  <si>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</si>
  <si>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</si>
  <si>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</si>
  <si>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</si>
  <si>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</si>
  <si>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</si>
  <si>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</si>
  <si>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</si>
  <si>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</si>
  <si>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</si>
  <si>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</si>
  <si>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</si>
  <si>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</si>
  <si>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</si>
  <si>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</si>
  <si>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</si>
  <si>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</si>
  <si>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</si>
  <si>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</si>
  <si>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</si>
  <si>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</si>
  <si>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</si>
  <si>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</si>
  <si>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</si>
  <si>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</si>
  <si>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</si>
  <si>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</si>
  <si>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</si>
  <si>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</si>
  <si>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</si>
  <si>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</si>
  <si>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</si>
  <si>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</si>
  <si>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</si>
  <si>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</si>
  <si>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</si>
  <si>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</si>
  <si>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</si>
  <si>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</si>
  <si>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</si>
  <si>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</si>
  <si>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</si>
  <si>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</si>
  <si>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</si>
  <si>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</si>
  <si>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</si>
  <si>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</si>
  <si>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</si>
  <si>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</si>
  <si>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</si>
  <si>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</si>
  <si>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</si>
  <si>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</si>
  <si>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</si>
  <si>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</si>
  <si>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</si>
  <si>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</si>
  <si>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</si>
  <si>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</si>
  <si>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</si>
  <si>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</si>
  <si>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</si>
  <si>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</si>
  <si>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</si>
  <si>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</si>
  <si>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</si>
  <si>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</si>
  <si>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</si>
  <si>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</si>
  <si>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</si>
  <si>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</si>
  <si>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</si>
  <si>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</si>
  <si>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</si>
  <si>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</si>
  <si>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</si>
  <si>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</si>
  <si>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</si>
  <si>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</si>
  <si>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</si>
  <si>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</si>
  <si>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</si>
  <si>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</si>
  <si>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</si>
  <si>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</si>
  <si>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</si>
  <si>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</si>
  <si>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</si>
  <si>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</si>
  <si>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</si>
  <si>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</si>
  <si>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</si>
  <si>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</si>
  <si>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</si>
  <si>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</si>
  <si>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</si>
  <si>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</si>
  <si>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</si>
  <si>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</si>
  <si>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</si>
  <si>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</si>
  <si>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</si>
  <si>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</si>
  <si>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</si>
  <si>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</si>
  <si>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</si>
  <si>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</si>
  <si>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</si>
  <si>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</si>
  <si>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</si>
  <si>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</si>
  <si>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</si>
  <si>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</si>
  <si>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</si>
  <si>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</si>
  <si>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</si>
  <si>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</si>
  <si>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</si>
  <si>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</si>
  <si>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</si>
  <si>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</si>
  <si>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</si>
  <si>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</si>
  <si>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</si>
  <si>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</si>
  <si>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</si>
  <si>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</si>
  <si>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</si>
  <si>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</si>
  <si>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</si>
  <si>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</si>
  <si>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</si>
  <si>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</si>
  <si>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</si>
  <si>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</si>
  <si>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</si>
  <si>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</si>
  <si>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</si>
  <si>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</si>
  <si>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</si>
  <si>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</si>
  <si>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</si>
  <si>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</si>
  <si>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</si>
  <si>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</si>
  <si>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</si>
  <si>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</si>
  <si>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</si>
  <si>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</si>
  <si>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</si>
  <si>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</si>
  <si>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</si>
  <si>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</si>
  <si>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</si>
  <si>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</si>
  <si>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</si>
  <si>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</si>
  <si>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</si>
  <si>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</si>
  <si>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</si>
  <si>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</si>
  <si>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</si>
  <si>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</si>
  <si>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</si>
  <si>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</si>
  <si>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</si>
  <si>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</si>
  <si>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</si>
  <si>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</si>
  <si>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</si>
  <si>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</si>
  <si>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</si>
  <si>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</si>
  <si>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</si>
  <si>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</si>
  <si>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</si>
  <si>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</si>
  <si>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</si>
  <si>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</si>
  <si>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</si>
  <si>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</si>
  <si>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</si>
  <si>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</si>
  <si>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</si>
  <si>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</si>
  <si>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</si>
  <si>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</si>
  <si>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</si>
  <si>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</si>
  <si>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</si>
  <si>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</si>
  <si>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</si>
  <si>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</si>
  <si>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</si>
  <si>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</si>
  <si>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</si>
  <si>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</si>
  <si>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</si>
  <si>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</si>
  <si>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</si>
  <si>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</si>
  <si>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</si>
  <si>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</si>
  <si>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</si>
  <si>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</si>
  <si>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</si>
  <si>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</si>
  <si>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</si>
  <si>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</si>
  <si>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</si>
  <si>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</si>
  <si>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</si>
  <si>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</si>
  <si>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</si>
  <si>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</si>
  <si>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</si>
  <si>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</si>
  <si>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</si>
  <si>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</si>
  <si>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</si>
  <si>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</si>
  <si>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</si>
  <si>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</si>
  <si>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</si>
  <si>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</si>
  <si>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</si>
  <si>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</si>
  <si>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</si>
  <si>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</si>
  <si>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</si>
  <si>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</si>
  <si>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</si>
  <si>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</si>
  <si>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</si>
  <si>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</si>
  <si>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</si>
  <si>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</si>
  <si>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</si>
  <si>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</si>
  <si>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</si>
  <si>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</si>
  <si>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</si>
  <si>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</si>
  <si>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</si>
  <si>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</si>
  <si>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</si>
  <si>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</si>
  <si>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</si>
  <si>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</si>
  <si>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</si>
  <si>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</si>
  <si>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</si>
  <si>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</si>
  <si>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</si>
  <si>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</si>
  <si>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</si>
  <si>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</si>
  <si>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</si>
  <si>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</si>
  <si>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</si>
  <si>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</si>
  <si>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</si>
  <si>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</si>
  <si>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</si>
  <si>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</si>
  <si>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</si>
  <si>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</si>
  <si>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</si>
  <si>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</si>
  <si>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</si>
  <si>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</si>
  <si>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</si>
  <si>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</si>
  <si>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</si>
  <si>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</si>
  <si>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</si>
  <si>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</si>
  <si>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</si>
  <si>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</si>
  <si>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</si>
  <si>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</si>
  <si>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</si>
  <si>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</si>
  <si>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</si>
  <si>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</si>
  <si>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</si>
  <si>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</si>
  <si>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</si>
  <si>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</si>
  <si>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</si>
  <si>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</si>
  <si>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</si>
  <si>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</si>
  <si>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</si>
  <si>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</si>
  <si>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</si>
  <si>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</si>
  <si>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</si>
  <si>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</si>
  <si>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</si>
  <si>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</si>
  <si>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</si>
  <si>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</si>
  <si>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</si>
  <si>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</si>
  <si>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</si>
  <si>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</si>
  <si>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</si>
  <si>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</si>
  <si>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</si>
  <si>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</si>
  <si>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</si>
  <si>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</si>
  <si>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</si>
  <si>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</si>
  <si>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</si>
  <si>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</si>
  <si>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</si>
  <si>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</si>
  <si>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</si>
  <si>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</si>
  <si>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</si>
  <si>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</si>
  <si>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</si>
  <si>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</si>
  <si>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</si>
  <si>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</si>
  <si>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</si>
  <si>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</si>
  <si>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</si>
  <si>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</si>
  <si>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</si>
  <si>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</si>
  <si>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</si>
  <si>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</si>
  <si>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</si>
  <si>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</si>
  <si>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</si>
  <si>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</si>
  <si>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</si>
  <si>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</si>
  <si>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</si>
  <si>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</si>
  <si>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</si>
  <si>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</si>
  <si>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</si>
  <si>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</si>
  <si>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</si>
  <si>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</si>
  <si>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</si>
  <si>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</si>
  <si>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</si>
  <si>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</si>
  <si>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</si>
  <si>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</si>
  <si>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</si>
  <si>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</si>
  <si>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</si>
  <si>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</si>
  <si>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</si>
  <si>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</si>
  <si>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</si>
  <si>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</si>
  <si>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</si>
  <si>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</si>
  <si>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</si>
  <si>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</si>
  <si>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</si>
  <si>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</si>
  <si>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</si>
  <si>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</si>
  <si>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</si>
  <si>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</si>
  <si>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</si>
  <si>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</si>
  <si>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</si>
  <si>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</si>
  <si>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</si>
  <si>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</si>
  <si>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</si>
  <si>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</si>
  <si>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</si>
  <si>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</si>
  <si>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</si>
  <si>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</si>
  <si>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</si>
  <si>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</si>
  <si>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</si>
  <si>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</si>
  <si>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</si>
  <si>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</si>
  <si>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</si>
  <si>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</si>
  <si>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</si>
  <si>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</si>
  <si>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</si>
  <si>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</si>
  <si>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</si>
  <si>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</si>
  <si>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</si>
  <si>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</si>
  <si>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</si>
  <si>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</si>
  <si>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</si>
  <si>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</si>
  <si>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</si>
  <si>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</si>
  <si>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</si>
  <si>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</si>
  <si>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</si>
  <si>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</si>
  <si>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</si>
  <si>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</si>
  <si>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</si>
  <si>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</si>
  <si>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</si>
  <si>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</si>
  <si>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</si>
  <si>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</si>
  <si>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</si>
  <si>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</si>
  <si>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</si>
  <si>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</si>
  <si>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</si>
  <si>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</si>
  <si>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</si>
  <si>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</si>
  <si>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</si>
  <si>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</si>
  <si>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</si>
  <si>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</si>
  <si>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</si>
  <si>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</si>
  <si>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</si>
  <si>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</si>
  <si>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</si>
  <si>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</si>
  <si>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</si>
  <si>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</si>
  <si>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</si>
  <si>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</si>
  <si>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</si>
  <si>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</si>
  <si>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</si>
  <si>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</si>
  <si>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</si>
  <si>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</si>
  <si>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</si>
  <si>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</si>
  <si>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</si>
  <si>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</si>
  <si>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</si>
  <si>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</si>
  <si>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</si>
  <si>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</si>
  <si>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</si>
  <si>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</si>
  <si>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</si>
  <si>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</si>
  <si>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</si>
  <si>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</si>
  <si>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</si>
  <si>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</si>
  <si>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</si>
  <si>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</si>
  <si>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</si>
  <si>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</si>
  <si>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</si>
  <si>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</si>
  <si>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</si>
  <si>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</si>
  <si>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</si>
  <si>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</si>
  <si>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</si>
  <si>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</si>
  <si>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</si>
  <si>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</si>
  <si>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</si>
  <si>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</si>
  <si>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</si>
  <si>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</si>
  <si>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</si>
  <si>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</si>
  <si>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</si>
  <si>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</si>
  <si>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</si>
  <si>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</si>
  <si>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</si>
  <si>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</si>
  <si>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</si>
  <si>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</si>
  <si>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</si>
  <si>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</si>
  <si>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</si>
  <si>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</si>
  <si>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</si>
  <si>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</si>
  <si>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</si>
  <si>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</si>
  <si>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</si>
  <si>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</si>
  <si>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</si>
  <si>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</si>
  <si>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</si>
  <si>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</si>
  <si>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</si>
  <si>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</si>
  <si>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</si>
  <si>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</si>
  <si>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</si>
  <si>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</si>
  <si>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</si>
  <si>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</si>
  <si>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</si>
  <si>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</si>
  <si>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</si>
  <si>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</si>
  <si>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</si>
  <si>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</si>
  <si>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</si>
  <si>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</si>
  <si>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</si>
  <si>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</si>
  <si>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</si>
  <si>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</si>
  <si>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</si>
  <si>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</si>
  <si>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</si>
  <si>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</si>
  <si>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</si>
  <si>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</si>
  <si>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</si>
  <si>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</si>
  <si>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</si>
  <si>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</si>
  <si>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</si>
  <si>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</si>
  <si>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</si>
  <si>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</si>
  <si>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</si>
  <si>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</si>
  <si>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</si>
  <si>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</si>
  <si>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</si>
  <si>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</si>
  <si>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</si>
  <si>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</si>
  <si>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</si>
  <si>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</si>
  <si>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</si>
  <si>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</si>
  <si>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</si>
  <si>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</si>
  <si>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</si>
  <si>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</si>
  <si>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</si>
  <si>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</si>
  <si>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</si>
  <si>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</si>
  <si>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</si>
  <si>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</si>
  <si>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</si>
  <si>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</si>
  <si>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</si>
  <si>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</si>
  <si>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</si>
  <si>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</si>
  <si>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</si>
  <si>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</si>
  <si>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</si>
  <si>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</si>
  <si>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</si>
  <si>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</si>
  <si>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</si>
  <si>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</si>
  <si>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</si>
  <si>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</si>
  <si>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</si>
  <si>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</si>
  <si>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</si>
  <si>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</si>
  <si>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</si>
  <si>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</si>
  <si>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</si>
  <si>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</si>
  <si>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</si>
  <si>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</si>
  <si>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</si>
  <si>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</si>
  <si>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</si>
  <si>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</si>
  <si>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</si>
  <si>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</si>
  <si>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</si>
  <si>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</si>
  <si>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</si>
  <si>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</si>
  <si>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</si>
  <si>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</si>
  <si>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</si>
  <si>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</si>
  <si>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</si>
  <si>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</si>
  <si>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</si>
  <si>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</si>
  <si>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</si>
  <si>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</si>
  <si>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</si>
  <si>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</si>
  <si>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</si>
  <si>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</si>
  <si>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</si>
  <si>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</si>
  <si>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</si>
  <si>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</si>
  <si>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</si>
  <si>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</si>
  <si>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</si>
  <si>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</si>
  <si>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</si>
  <si>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</si>
  <si>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</si>
  <si>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</si>
  <si>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</si>
  <si>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</si>
  <si>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</si>
  <si>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</si>
  <si>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</si>
  <si>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</si>
  <si>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</si>
  <si>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</si>
  <si>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</si>
  <si>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</si>
  <si>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</si>
  <si>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</si>
  <si>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</si>
  <si>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</si>
  <si>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</si>
  <si>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</si>
  <si>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</si>
  <si>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</si>
  <si>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</si>
  <si>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</si>
  <si>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</si>
  <si>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</si>
  <si>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</si>
  <si>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</si>
  <si>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</si>
  <si>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</si>
  <si>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</si>
  <si>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</si>
  <si>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</si>
  <si>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</si>
  <si>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</si>
  <si>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</si>
  <si>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</si>
  <si>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</si>
  <si>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</si>
  <si>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</si>
  <si>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</si>
  <si>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</si>
  <si>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</si>
  <si>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</si>
  <si>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</si>
  <si>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</si>
  <si>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</si>
  <si>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</si>
  <si>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</si>
  <si>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</si>
  <si>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</si>
  <si>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</si>
  <si>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</si>
  <si>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</si>
  <si>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</si>
  <si>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</si>
  <si>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</si>
  <si>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</si>
  <si>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</si>
  <si>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</si>
  <si>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</si>
  <si>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</si>
  <si>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</si>
  <si>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</si>
  <si>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</si>
  <si>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</si>
  <si>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</si>
  <si>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</si>
  <si>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</si>
  <si>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</si>
  <si>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</si>
  <si>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</si>
  <si>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</si>
  <si>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</si>
  <si>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</si>
  <si>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</si>
  <si>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</si>
  <si>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</si>
  <si>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</si>
  <si>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</si>
  <si>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</si>
  <si>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</si>
  <si>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</si>
  <si>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</si>
  <si>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</si>
  <si>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</si>
  <si>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</si>
  <si>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</si>
  <si>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</si>
  <si>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</si>
  <si>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</si>
  <si>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</si>
  <si>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</si>
  <si>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</si>
  <si>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</si>
  <si>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</si>
  <si>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</si>
  <si>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</si>
  <si>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</si>
  <si>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</si>
  <si>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</si>
  <si>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</si>
  <si>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</si>
  <si>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</si>
  <si>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</si>
  <si>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</si>
  <si>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</si>
  <si>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</si>
  <si>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</si>
  <si>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</si>
  <si>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</si>
  <si>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</si>
  <si>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</si>
  <si>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</si>
  <si>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</si>
  <si>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</si>
  <si>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</si>
  <si>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</si>
  <si>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</si>
  <si>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</si>
  <si>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</si>
  <si>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</si>
  <si>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</si>
  <si>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</si>
  <si>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</si>
  <si>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</si>
  <si>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</si>
  <si>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</si>
  <si>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</si>
  <si>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</si>
  <si>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</si>
  <si>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</si>
  <si>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</si>
  <si>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</si>
  <si>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</si>
  <si>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</si>
  <si>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</si>
  <si>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</si>
  <si>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</si>
  <si>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</si>
  <si>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</si>
  <si>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</si>
  <si>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</si>
  <si>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</si>
  <si>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</si>
  <si>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</si>
  <si>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</si>
  <si>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</si>
  <si>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</si>
  <si>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</si>
  <si>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</si>
  <si>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</si>
  <si>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</si>
  <si>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</si>
  <si>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</si>
  <si>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</si>
  <si>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</si>
  <si>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</si>
  <si>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</si>
  <si>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</si>
  <si>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</si>
  <si>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</si>
  <si>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</si>
  <si>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</si>
  <si>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</si>
  <si>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</si>
  <si>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</si>
  <si>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</si>
  <si>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</si>
  <si>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</si>
  <si>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</si>
  <si>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</si>
  <si>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</si>
  <si>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</si>
  <si>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</si>
  <si>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</si>
  <si>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</si>
  <si>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</si>
  <si>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</si>
  <si>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</si>
  <si>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</si>
  <si>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</si>
  <si>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</si>
  <si>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</si>
  <si>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</si>
  <si>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</si>
  <si>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</si>
  <si>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</si>
  <si>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</si>
  <si>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</si>
  <si>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</si>
  <si>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</si>
  <si>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</si>
  <si>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</si>
  <si>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</si>
  <si>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</si>
  <si>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</si>
  <si>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</si>
  <si>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</si>
  <si>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</si>
  <si>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</si>
  <si>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</si>
  <si>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</si>
  <si>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</si>
  <si>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</si>
  <si>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</si>
  <si>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</si>
  <si>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</si>
  <si>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</si>
  <si>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</si>
  <si>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</si>
  <si>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</si>
  <si>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</si>
  <si>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</si>
  <si>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</si>
  <si>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</si>
  <si>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</si>
  <si>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</si>
  <si>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</si>
  <si>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</si>
  <si>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</si>
  <si>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</si>
  <si>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</si>
  <si>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</si>
  <si>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</si>
  <si>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</si>
  <si>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</si>
  <si>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</si>
  <si>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</si>
  <si>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</si>
  <si>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</si>
  <si>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</si>
  <si>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</si>
  <si>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</si>
  <si>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</si>
  <si>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</si>
  <si>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</si>
  <si>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</si>
  <si>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</si>
  <si>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</si>
  <si>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</si>
  <si>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</si>
  <si>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</si>
  <si>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</si>
  <si>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</si>
  <si>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</si>
  <si>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</si>
  <si>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</si>
  <si>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</si>
  <si>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</si>
  <si>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</si>
  <si>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</si>
  <si>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</si>
  <si>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</si>
  <si>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</si>
  <si>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</si>
  <si>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</si>
  <si>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</si>
  <si>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</si>
  <si>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</si>
  <si>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</si>
  <si>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</si>
  <si>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</si>
  <si>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</si>
  <si>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</si>
  <si>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</si>
  <si>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</si>
  <si>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</si>
  <si>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</si>
  <si>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</si>
  <si>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</si>
  <si>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</si>
  <si>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</si>
  <si>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</si>
  <si>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</si>
  <si>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</si>
  <si>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</si>
  <si>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</si>
  <si>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</si>
  <si>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</si>
  <si>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</si>
  <si>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</si>
  <si>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</si>
  <si>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</si>
  <si>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</si>
  <si>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</si>
  <si>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</si>
  <si>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</si>
  <si>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</si>
  <si>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</si>
  <si>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</si>
  <si>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</si>
  <si>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</si>
  <si>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</si>
  <si>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</si>
  <si>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</si>
  <si>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</si>
  <si>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</si>
  <si>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</si>
  <si>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</si>
  <si>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</si>
  <si>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</si>
  <si>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</si>
  <si>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</si>
  <si>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</si>
  <si>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</si>
  <si>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</si>
  <si>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</si>
  <si>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</si>
  <si>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</si>
  <si>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</si>
  <si>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</si>
  <si>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</si>
  <si>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</si>
  <si>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</si>
  <si>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</si>
  <si>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</si>
  <si>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</si>
  <si>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</si>
  <si>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</si>
  <si>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</si>
  <si>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</si>
  <si>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</si>
  <si>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</si>
  <si>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</si>
  <si>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</si>
  <si>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</si>
  <si>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</si>
  <si>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</si>
  <si>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</si>
  <si>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</si>
  <si>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</si>
  <si>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</si>
  <si>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</si>
  <si>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</si>
  <si>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</si>
  <si>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</si>
  <si>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</si>
  <si>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</si>
  <si>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</si>
  <si>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</si>
  <si>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</si>
  <si>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</si>
  <si>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</si>
  <si>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</si>
  <si>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</si>
  <si>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</si>
  <si>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</si>
  <si>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</si>
  <si>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</si>
  <si>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</si>
  <si>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</si>
  <si>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</si>
  <si>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</si>
  <si>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</si>
  <si>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</si>
  <si>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</si>
  <si>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</si>
  <si>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</si>
  <si>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</si>
  <si>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</si>
  <si>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</si>
  <si>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</si>
  <si>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</si>
  <si>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</si>
  <si>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</si>
  <si>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</si>
  <si>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</si>
  <si>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</si>
  <si>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</si>
  <si>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</si>
  <si>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</si>
  <si>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</si>
  <si>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</si>
  <si>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</si>
  <si>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</si>
  <si>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</si>
  <si>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</si>
  <si>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</si>
  <si>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</si>
  <si>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</si>
  <si>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</si>
  <si>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</si>
  <si>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</si>
  <si>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</si>
  <si>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</si>
  <si>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</si>
  <si>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</si>
  <si>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</si>
  <si>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</si>
  <si>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</si>
  <si>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</si>
  <si>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</si>
  <si>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</si>
  <si>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</si>
  <si>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</si>
  <si>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</si>
  <si>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</si>
  <si>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</si>
  <si>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</si>
  <si>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</si>
  <si>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</si>
  <si>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</si>
  <si>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</si>
  <si>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</si>
  <si>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</si>
  <si>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</si>
  <si>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</si>
  <si>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</si>
  <si>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</si>
  <si>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</si>
  <si>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</si>
  <si>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</si>
  <si>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</si>
  <si>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</si>
  <si>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</si>
  <si>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</si>
  <si>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</si>
  <si>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</si>
  <si>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</si>
  <si>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</si>
  <si>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</si>
  <si>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</si>
  <si>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</si>
  <si>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</si>
  <si>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</si>
  <si>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</si>
  <si>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</si>
  <si>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</si>
  <si>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</si>
  <si>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</si>
  <si>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</si>
  <si>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</si>
  <si>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</si>
  <si>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</si>
  <si>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</si>
  <si>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</si>
  <si>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</si>
  <si>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</si>
  <si>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</si>
  <si>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</si>
  <si>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</si>
  <si>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</si>
  <si>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</si>
  <si>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</si>
  <si>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</si>
  <si>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</si>
  <si>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</si>
  <si>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</si>
  <si>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</si>
  <si>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</si>
  <si>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</si>
  <si>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</si>
  <si>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</si>
  <si>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</si>
  <si>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</si>
  <si>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</si>
  <si>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</si>
  <si>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</si>
  <si>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</si>
  <si>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</si>
  <si>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</si>
  <si>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</si>
  <si>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</si>
  <si>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</si>
  <si>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</si>
  <si>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</si>
  <si>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</si>
  <si>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</si>
  <si>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</si>
  <si>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</si>
  <si>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</si>
  <si>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</si>
  <si>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</si>
  <si>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</si>
  <si>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</si>
  <si>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</si>
  <si>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</si>
  <si>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</si>
  <si>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</si>
  <si>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</si>
  <si>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</si>
  <si>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</si>
  <si>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</si>
  <si>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</si>
  <si>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</si>
  <si>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</si>
  <si>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</si>
  <si>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</si>
  <si>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</si>
  <si>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</si>
  <si>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</si>
  <si>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</si>
  <si>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</si>
  <si>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</si>
  <si>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</si>
  <si>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</si>
  <si>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</si>
  <si>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</si>
  <si>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</si>
  <si>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</si>
  <si>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</si>
  <si>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</si>
  <si>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</si>
  <si>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</si>
  <si>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</si>
  <si>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</si>
  <si>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</si>
  <si>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</si>
  <si>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</si>
  <si>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</si>
  <si>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</si>
  <si>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</si>
  <si>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</si>
  <si>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</si>
  <si>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</si>
  <si>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</si>
  <si>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</si>
  <si>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</si>
  <si>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</si>
  <si>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</si>
  <si>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</si>
  <si>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</si>
  <si>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</si>
  <si>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</si>
  <si>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</si>
  <si>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</si>
  <si>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</si>
  <si>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</si>
  <si>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</si>
  <si>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</si>
  <si>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</si>
  <si>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</si>
  <si>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</si>
  <si>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</si>
  <si>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</si>
  <si>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</si>
  <si>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</si>
  <si>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</si>
  <si>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</si>
  <si>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</si>
  <si>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</si>
  <si>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</si>
  <si>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</si>
  <si>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</si>
  <si>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</si>
  <si>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</si>
  <si>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</si>
  <si>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</si>
  <si>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</si>
  <si>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</si>
  <si>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</si>
  <si>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</si>
  <si>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</si>
  <si>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</si>
  <si>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</si>
  <si>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</si>
  <si>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</si>
  <si>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</si>
  <si>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</si>
  <si>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</si>
  <si>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</si>
  <si>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</si>
  <si>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</si>
  <si>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</si>
  <si>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</si>
  <si>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</si>
  <si>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</si>
  <si>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</si>
  <si>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</si>
  <si>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</si>
  <si>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</si>
  <si>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</si>
  <si>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</si>
  <si>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</si>
  <si>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</si>
  <si>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</si>
  <si>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</si>
  <si>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</si>
  <si>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</si>
  <si>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</si>
  <si>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</si>
  <si>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</si>
  <si>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</si>
  <si>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</si>
  <si>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</si>
  <si>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</si>
  <si>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</si>
  <si>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</si>
  <si>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</si>
  <si>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</si>
  <si>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</si>
  <si>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</si>
  <si>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</si>
  <si>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</si>
  <si>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</si>
  <si>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</si>
  <si>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</si>
  <si>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</si>
  <si>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</si>
  <si>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</si>
  <si>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</si>
  <si>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</si>
  <si>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</si>
  <si>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</si>
  <si>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</si>
  <si>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</si>
  <si>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</si>
  <si>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</si>
  <si>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</si>
  <si>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</si>
  <si>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</si>
  <si>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</si>
  <si>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</si>
  <si>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</si>
  <si>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</si>
  <si>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</si>
  <si>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</si>
  <si>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</si>
  <si>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</si>
  <si>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</si>
  <si>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</si>
  <si>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</si>
  <si>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</si>
  <si>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</si>
  <si>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</si>
  <si>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</si>
  <si>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</si>
  <si>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</si>
  <si>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</si>
  <si>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</si>
  <si>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</si>
  <si>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</si>
  <si>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</si>
  <si>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</si>
  <si>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</si>
  <si>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</si>
  <si>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</si>
  <si>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</si>
  <si>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</si>
  <si>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</si>
  <si>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</si>
  <si>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</si>
  <si>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</si>
  <si>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</si>
  <si>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</si>
  <si>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</si>
  <si>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</si>
  <si>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</si>
  <si>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</si>
  <si>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</si>
  <si>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</si>
  <si>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</si>
  <si>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</si>
  <si>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</si>
  <si>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</si>
  <si>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</si>
  <si>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</si>
  <si>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</si>
  <si>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</si>
  <si>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</si>
  <si>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</si>
  <si>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</si>
  <si>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</si>
  <si>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</si>
  <si>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</si>
  <si>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</si>
  <si>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</si>
  <si>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</si>
  <si>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</si>
  <si>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</si>
  <si>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</si>
  <si>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</si>
  <si>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</si>
  <si>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</si>
  <si>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</si>
  <si>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</si>
  <si>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</si>
  <si>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</si>
  <si>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</si>
  <si>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</si>
  <si>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</si>
  <si>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</si>
  <si>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</si>
  <si>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</si>
  <si>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</si>
  <si>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</si>
  <si>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</si>
  <si>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</si>
  <si>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</si>
  <si>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</si>
  <si>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</si>
  <si>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</si>
  <si>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</si>
  <si>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</si>
  <si>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</si>
  <si>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</si>
  <si>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</si>
  <si>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</si>
  <si>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</si>
  <si>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</si>
  <si>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</si>
  <si>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</si>
  <si>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</si>
  <si>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</si>
  <si>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</si>
  <si>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</si>
  <si>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</si>
  <si>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</si>
  <si>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</si>
  <si>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</si>
  <si>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</si>
  <si>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</si>
  <si>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</si>
  <si>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</si>
  <si>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</si>
  <si>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</si>
  <si>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</si>
  <si>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</si>
  <si>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</si>
  <si>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</si>
  <si>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</si>
  <si>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</si>
  <si>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</si>
  <si>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</si>
  <si>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</si>
  <si>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</si>
  <si>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</si>
  <si>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</si>
  <si>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</si>
  <si>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</si>
  <si>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</si>
  <si>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</si>
  <si>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</si>
  <si>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</si>
  <si>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</si>
  <si>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</si>
  <si>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</si>
  <si>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</si>
  <si>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</si>
  <si>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</si>
  <si>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</si>
  <si>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</si>
  <si>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</si>
  <si>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</si>
  <si>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</si>
  <si>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</si>
  <si>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</si>
  <si>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</si>
  <si>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</si>
  <si>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</si>
  <si>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</si>
  <si>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</si>
  <si>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</si>
  <si>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</si>
  <si>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</si>
  <si>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</si>
  <si>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</si>
  <si>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</si>
  <si>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</si>
  <si>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</si>
  <si>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</si>
  <si>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</si>
  <si>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</si>
  <si>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</si>
  <si>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</si>
  <si>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</si>
  <si>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</si>
  <si>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</si>
  <si>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</si>
  <si>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</si>
  <si>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</si>
  <si>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</si>
  <si>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</si>
  <si>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</si>
  <si>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</si>
  <si>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</si>
  <si>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</si>
  <si>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</si>
  <si>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</si>
  <si>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</si>
  <si>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</si>
  <si>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</si>
  <si>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</si>
  <si>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</si>
  <si>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</si>
  <si>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</si>
  <si>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</si>
  <si>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</si>
  <si>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</si>
  <si>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</si>
  <si>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</si>
  <si>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</si>
  <si>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</si>
  <si>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</si>
  <si>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</si>
  <si>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</si>
  <si>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</si>
  <si>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</si>
  <si>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</si>
  <si>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</si>
  <si>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</si>
  <si>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</si>
  <si>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</si>
  <si>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</si>
  <si>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</si>
  <si>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</si>
  <si>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</si>
  <si>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</si>
  <si>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</si>
  <si>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</si>
  <si>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</si>
  <si>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</si>
  <si>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</si>
  <si>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</si>
  <si>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</si>
  <si>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</si>
  <si>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</si>
  <si>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</si>
  <si>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</si>
  <si>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</si>
  <si>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</si>
  <si>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</si>
  <si>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</si>
  <si>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</si>
  <si>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</si>
  <si>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</si>
  <si>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</si>
  <si>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</si>
  <si>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</si>
  <si>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</si>
  <si>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</si>
  <si>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</si>
  <si>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</si>
  <si>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</si>
  <si>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</si>
  <si>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</si>
  <si>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</si>
  <si>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</si>
  <si>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</si>
  <si>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</si>
  <si>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</si>
  <si>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</si>
  <si>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</si>
  <si>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</si>
  <si>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</si>
  <si>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</si>
  <si>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</si>
  <si>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</si>
  <si>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</si>
  <si>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</si>
  <si>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</si>
  <si>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</si>
  <si>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</si>
  <si>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</si>
  <si>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</si>
  <si>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</si>
  <si>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</si>
  <si>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</si>
  <si>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</si>
  <si>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</si>
  <si>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</si>
  <si>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</si>
  <si>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</si>
  <si>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</si>
  <si>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</si>
  <si>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</si>
  <si>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</si>
  <si>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</si>
  <si>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</si>
  <si>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</si>
  <si>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</si>
  <si>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</si>
  <si>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</si>
  <si>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</si>
  <si>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</si>
  <si>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</si>
  <si>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</si>
  <si>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</si>
  <si>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</si>
  <si>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</si>
  <si>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</si>
  <si>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</si>
  <si>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</si>
  <si>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</si>
  <si>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</si>
  <si>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</si>
  <si>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</si>
  <si>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</si>
  <si>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</si>
  <si>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</si>
  <si>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</si>
  <si>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</si>
  <si>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</si>
  <si>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</si>
  <si>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</si>
  <si>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</si>
  <si>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</si>
  <si>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</si>
  <si>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</si>
  <si>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</si>
  <si>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</si>
  <si>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</si>
  <si>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</si>
  <si>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</si>
  <si>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</si>
  <si>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</si>
  <si>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</si>
  <si>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</si>
  <si>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</si>
  <si>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</si>
  <si>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</si>
  <si>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</si>
  <si>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</si>
  <si>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</si>
  <si>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</si>
  <si>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</si>
  <si>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</si>
  <si>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</si>
  <si>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</si>
  <si>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</si>
  <si>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</si>
  <si>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</si>
  <si>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</si>
  <si>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</si>
  <si>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</si>
  <si>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</si>
  <si>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</si>
  <si>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</si>
  <si>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</si>
  <si>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</si>
  <si>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</si>
  <si>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</si>
  <si>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</si>
  <si>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</si>
  <si>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</si>
  <si>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</si>
  <si>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</si>
  <si>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</si>
  <si>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</si>
  <si>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</si>
  <si>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</si>
  <si>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</si>
  <si>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</si>
  <si>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</si>
  <si>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</si>
  <si>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</si>
  <si>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</si>
  <si>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</si>
  <si>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</si>
  <si>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</si>
  <si>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</si>
  <si>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</si>
  <si>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</si>
  <si>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</si>
  <si>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</si>
  <si>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</si>
  <si>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</si>
  <si>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</si>
  <si>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</si>
  <si>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</si>
  <si>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</si>
  <si>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</si>
  <si>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</si>
  <si>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</si>
  <si>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</si>
  <si>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</si>
  <si>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</si>
  <si>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</si>
  <si>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</si>
  <si>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</si>
  <si>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</si>
  <si>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</si>
  <si>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</si>
  <si>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</si>
  <si>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</si>
  <si>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</si>
  <si>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</si>
  <si>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</si>
  <si>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</si>
  <si>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</si>
  <si>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</si>
  <si>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</si>
  <si>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</si>
  <si>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</si>
  <si>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</si>
  <si>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</si>
  <si>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</si>
  <si>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</si>
  <si>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</si>
  <si>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</si>
  <si>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</si>
  <si>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</si>
  <si>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</si>
  <si>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</si>
  <si>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</si>
  <si>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</si>
  <si>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</si>
  <si>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</si>
  <si>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</si>
  <si>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</si>
  <si>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</si>
  <si>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</si>
  <si>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</si>
  <si>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</si>
  <si>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</si>
  <si>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</si>
  <si>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</si>
  <si>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</si>
  <si>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</si>
  <si>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</si>
  <si>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</si>
  <si>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</si>
  <si>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</si>
  <si>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</si>
  <si>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</si>
  <si>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</si>
  <si>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</si>
  <si>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</si>
  <si>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</si>
  <si>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</si>
  <si>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</si>
  <si>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</si>
  <si>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</si>
  <si>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</si>
  <si>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</si>
  <si>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</si>
  <si>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</si>
  <si>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</si>
  <si>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</si>
  <si>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</si>
  <si>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</si>
  <si>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</si>
  <si>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</si>
  <si>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</si>
  <si>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</si>
  <si>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</si>
  <si>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</si>
  <si>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</si>
  <si>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</si>
  <si>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</si>
  <si>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</si>
  <si>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</si>
  <si>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</si>
  <si>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</si>
  <si>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</si>
  <si>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</si>
  <si>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</si>
  <si>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</si>
  <si>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</si>
  <si>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</si>
  <si>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</si>
  <si>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</si>
  <si>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</si>
  <si>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</si>
  <si>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</si>
  <si>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</si>
  <si>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</si>
  <si>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</si>
  <si>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</si>
  <si>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</si>
  <si>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</si>
  <si>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</si>
  <si>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</si>
  <si>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</si>
  <si>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</si>
  <si>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</si>
  <si>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</si>
  <si>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</si>
  <si>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</si>
  <si>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</si>
  <si>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</si>
  <si>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</si>
  <si>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</si>
  <si>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</si>
  <si>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</si>
  <si>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</si>
  <si>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</si>
  <si>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</si>
  <si>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</si>
  <si>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</si>
  <si>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</si>
  <si>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</si>
  <si>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</si>
  <si>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</si>
  <si>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</si>
  <si>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</si>
  <si>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</si>
  <si>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</si>
  <si>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</si>
  <si>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</si>
  <si>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</si>
  <si>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</si>
  <si>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</si>
  <si>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</si>
  <si>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</si>
  <si>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</si>
  <si>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</si>
  <si>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</si>
  <si>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</si>
  <si>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</si>
  <si>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</si>
  <si>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</si>
  <si>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</si>
  <si>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</si>
  <si>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</si>
  <si>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</si>
  <si>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</si>
  <si>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</si>
  <si>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</si>
  <si>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</si>
  <si>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</si>
  <si>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</si>
  <si>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</si>
  <si>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</si>
  <si>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</si>
  <si>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</si>
  <si>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</si>
  <si>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</si>
  <si>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</si>
  <si>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</si>
  <si>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</si>
  <si>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</si>
  <si>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</si>
  <si>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</si>
  <si>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</si>
  <si>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</si>
  <si>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</si>
  <si>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</si>
  <si>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</si>
  <si>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</si>
  <si>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</si>
  <si>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</si>
  <si>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</si>
  <si>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</si>
  <si>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</si>
  <si>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</si>
  <si>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</si>
  <si>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</si>
  <si>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</si>
  <si>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</si>
  <si>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</si>
  <si>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</si>
  <si>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</si>
  <si>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</si>
  <si>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</si>
  <si>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</si>
  <si>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</si>
  <si>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</si>
  <si>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</si>
  <si>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</si>
  <si>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</si>
  <si>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</si>
  <si>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</si>
  <si>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</si>
  <si>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</si>
  <si>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</si>
  <si>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</si>
  <si>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</si>
  <si>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</si>
  <si>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</si>
  <si>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</si>
  <si>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</si>
  <si>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</si>
  <si>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</si>
  <si>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</si>
  <si>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</si>
  <si>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</si>
  <si>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</si>
  <si>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</si>
  <si>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</si>
  <si>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</si>
  <si>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</si>
  <si>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</si>
  <si>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</si>
  <si>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</si>
  <si>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</si>
  <si>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</si>
  <si>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</si>
  <si>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</si>
  <si>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</si>
  <si>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</si>
  <si>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</si>
  <si>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</si>
  <si>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</si>
  <si>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</si>
  <si>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</si>
  <si>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</si>
  <si>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</si>
  <si>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</si>
  <si>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</si>
  <si>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</si>
  <si>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</si>
  <si>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</si>
  <si>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</si>
  <si>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</si>
  <si>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</si>
  <si>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</si>
  <si>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</si>
  <si>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</si>
  <si>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</si>
  <si>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</si>
  <si>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</si>
  <si>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</si>
  <si>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</si>
  <si>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</si>
  <si>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</si>
  <si>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</si>
  <si>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</si>
  <si>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</si>
  <si>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</si>
  <si>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</si>
  <si>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</si>
  <si>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</si>
  <si>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</si>
  <si>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</si>
  <si>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</si>
  <si>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</si>
  <si>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</si>
  <si>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</si>
  <si>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</si>
  <si>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</si>
  <si>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</si>
  <si>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</si>
  <si>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</si>
  <si>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</si>
  <si>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</si>
  <si>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</si>
  <si>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</si>
  <si>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</si>
  <si>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</si>
  <si>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</si>
  <si>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</si>
  <si>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</si>
  <si>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</si>
  <si>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</si>
  <si>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</si>
  <si>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</si>
  <si>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</si>
  <si>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</si>
  <si>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</si>
  <si>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</si>
  <si>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</si>
  <si>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</si>
  <si>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</si>
  <si>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</si>
  <si>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</si>
  <si>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</si>
  <si>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</si>
  <si>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</si>
  <si>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</si>
  <si>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</si>
  <si>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</si>
  <si>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</si>
  <si>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</si>
  <si>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</si>
  <si>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</si>
  <si>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</si>
  <si>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</si>
  <si>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</si>
  <si>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</si>
  <si>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</si>
  <si>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</si>
  <si>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</si>
  <si>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</si>
  <si>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</si>
  <si>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</si>
  <si>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</si>
  <si>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</si>
  <si>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</si>
  <si>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</si>
  <si>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</si>
  <si>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</si>
  <si>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</si>
  <si>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</si>
  <si>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</si>
  <si>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</si>
  <si>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</si>
  <si>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</si>
  <si>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</si>
  <si>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</si>
  <si>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</si>
  <si>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</si>
  <si>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</si>
  <si>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</si>
  <si>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</si>
  <si>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</si>
  <si>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</si>
  <si>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</si>
  <si>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</si>
  <si>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</si>
  <si>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</si>
  <si>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</si>
  <si>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</si>
  <si>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</si>
  <si>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</si>
  <si>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</si>
  <si>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</si>
  <si>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</si>
  <si>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</si>
  <si>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</si>
  <si>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</si>
  <si>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</si>
  <si>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</si>
  <si>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</si>
  <si>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</si>
  <si>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</si>
  <si>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</si>
  <si>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</si>
  <si>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</si>
  <si>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</si>
  <si>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</si>
  <si>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</si>
  <si>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</si>
  <si>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</si>
  <si>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</si>
  <si>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</si>
  <si>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</si>
  <si>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</si>
  <si>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</si>
  <si>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</si>
  <si>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</si>
  <si>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</si>
  <si>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</si>
  <si>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</si>
  <si>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</si>
  <si>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</si>
  <si>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</si>
  <si>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</si>
  <si>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</si>
  <si>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</si>
  <si>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</si>
  <si>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</si>
  <si>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</si>
  <si>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</si>
  <si>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</si>
  <si>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</si>
  <si>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</si>
  <si>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</si>
  <si>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</si>
  <si>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</si>
  <si>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</si>
  <si>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</si>
  <si>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</si>
  <si>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</si>
  <si>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</si>
  <si>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</si>
  <si>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</si>
  <si>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</si>
  <si>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</si>
  <si>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</si>
  <si>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</si>
  <si>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</si>
  <si>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</si>
  <si>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</si>
  <si>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</si>
  <si>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</si>
  <si>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</si>
  <si>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</si>
  <si>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</si>
  <si>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</si>
  <si>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</si>
  <si>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</si>
  <si>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</si>
  <si>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</si>
  <si>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</si>
  <si>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</si>
  <si>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</si>
  <si>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</si>
  <si>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</si>
  <si>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</si>
  <si>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</si>
  <si>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</si>
  <si>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</si>
  <si>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</si>
  <si>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</si>
  <si>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</si>
  <si>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</si>
  <si>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</si>
  <si>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</si>
  <si>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</si>
  <si>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</si>
  <si>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</si>
  <si>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</si>
  <si>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</si>
  <si>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</si>
  <si>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</si>
  <si>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</si>
  <si>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</si>
  <si>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</si>
  <si>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</si>
  <si>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</si>
  <si>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</si>
  <si>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</si>
  <si>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</si>
  <si>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</si>
  <si>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</si>
  <si>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</si>
  <si>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</si>
  <si>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</si>
  <si>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</si>
  <si>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</si>
  <si>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</si>
  <si>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</si>
  <si>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</si>
  <si>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</si>
  <si>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</si>
  <si>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</si>
  <si>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</si>
  <si>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</si>
  <si>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</si>
  <si>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</si>
  <si>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</si>
  <si>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</si>
  <si>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</si>
  <si>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</si>
  <si>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</si>
  <si>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</si>
  <si>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</si>
  <si>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</si>
  <si>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</si>
  <si>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</si>
  <si>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</si>
  <si>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</si>
  <si>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</si>
  <si>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</si>
  <si>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</si>
  <si>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</si>
  <si>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</si>
  <si>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</si>
  <si>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</si>
  <si>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</si>
  <si>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</si>
  <si>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</si>
  <si>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</si>
  <si>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</si>
  <si>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</si>
  <si>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</si>
  <si>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</si>
  <si>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</si>
  <si>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</si>
  <si>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</si>
  <si>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</si>
  <si>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</si>
  <si>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</si>
  <si>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</si>
  <si>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</si>
  <si>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</si>
  <si>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</si>
  <si>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</si>
  <si>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</si>
  <si>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</si>
  <si>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</si>
  <si>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</si>
  <si>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</si>
  <si>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</si>
  <si>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</si>
  <si>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</si>
  <si>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</si>
  <si>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</si>
  <si>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</si>
  <si>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</si>
  <si>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</si>
  <si>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</si>
  <si>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</si>
  <si>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</si>
  <si>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</si>
  <si>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</si>
  <si>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</si>
  <si>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</si>
  <si>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</si>
  <si>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</si>
  <si>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</si>
  <si>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</si>
  <si>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</si>
  <si>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</si>
  <si>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</si>
  <si>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</si>
  <si>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</si>
  <si>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</si>
  <si>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</si>
  <si>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</si>
  <si>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</si>
  <si>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</si>
  <si>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</si>
  <si>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</si>
  <si>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</si>
  <si>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</si>
  <si>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</si>
  <si>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</si>
  <si>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</si>
  <si>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</si>
  <si>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</si>
  <si>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</si>
  <si>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</si>
  <si>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</si>
  <si>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</si>
  <si>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</si>
  <si>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</si>
  <si>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</si>
  <si>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</si>
  <si>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</si>
  <si>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</si>
  <si>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</si>
  <si>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</si>
  <si>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</si>
  <si>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</si>
  <si>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</si>
  <si>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</si>
  <si>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</si>
  <si>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</si>
  <si>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</si>
  <si>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</si>
  <si>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</si>
  <si>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</si>
  <si>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</si>
  <si>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</si>
  <si>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</si>
  <si>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</si>
  <si>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</si>
  <si>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</si>
  <si>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</si>
  <si>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</si>
  <si>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</si>
  <si>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</si>
  <si>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</si>
  <si>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</si>
  <si>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</si>
  <si>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</si>
  <si>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</si>
  <si>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</si>
  <si>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</si>
  <si>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</si>
  <si>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</si>
  <si>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</si>
  <si>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</si>
  <si>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</si>
  <si>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</si>
  <si>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</si>
  <si>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</si>
  <si>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</si>
  <si>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</si>
  <si>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</si>
  <si>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</si>
  <si>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</si>
  <si>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</si>
  <si>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</si>
  <si>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</si>
  <si>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</si>
  <si>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</si>
  <si>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</si>
  <si>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</si>
  <si>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</si>
  <si>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</si>
  <si>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</si>
  <si>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</si>
  <si>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</si>
  <si>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</si>
  <si>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</si>
  <si>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</si>
  <si>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</si>
  <si>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</si>
  <si>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</si>
  <si>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</si>
  <si>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</si>
  <si>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</si>
  <si>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</si>
  <si>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</si>
  <si>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</si>
  <si>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</si>
  <si>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</si>
  <si>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</si>
  <si>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</si>
  <si>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</si>
  <si>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</si>
  <si>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</si>
  <si>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</si>
  <si>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</si>
  <si>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</si>
  <si>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</si>
  <si>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</si>
  <si>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</si>
  <si>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</si>
  <si>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</si>
  <si>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</si>
  <si>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</si>
  <si>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</si>
  <si>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</si>
  <si>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</si>
  <si>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</si>
  <si>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</si>
  <si>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</si>
  <si>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</si>
  <si>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</si>
  <si>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</si>
  <si>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</si>
  <si>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</si>
  <si>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</si>
  <si>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</si>
  <si>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</si>
  <si>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</si>
  <si>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</si>
  <si>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</si>
  <si>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</si>
  <si>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</si>
  <si>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</si>
  <si>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</si>
  <si>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</si>
  <si>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</si>
  <si>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</si>
  <si>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</si>
  <si>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</si>
  <si>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</si>
  <si>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</si>
  <si>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</si>
  <si>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</si>
  <si>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</si>
  <si>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</si>
  <si>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</si>
  <si>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</si>
  <si>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</si>
  <si>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</si>
  <si>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</si>
  <si>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</si>
  <si>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</si>
  <si>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</si>
  <si>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</si>
  <si>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</si>
  <si>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</si>
  <si>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</si>
  <si>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</si>
  <si>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</si>
  <si>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</si>
  <si>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</si>
  <si>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</si>
  <si>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</si>
  <si>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</si>
  <si>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</si>
  <si>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</si>
  <si>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</si>
  <si>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</si>
  <si>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</si>
  <si>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</si>
  <si>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</si>
  <si>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</si>
  <si>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</si>
  <si>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</si>
  <si>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</si>
  <si>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</si>
  <si>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</si>
  <si>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</si>
  <si>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</si>
  <si>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</si>
  <si>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</si>
  <si>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</si>
  <si>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</si>
  <si>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</si>
  <si>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</si>
  <si>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</si>
  <si>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</si>
  <si>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</si>
  <si>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</si>
  <si>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</si>
  <si>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</si>
  <si>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</si>
  <si>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</si>
  <si>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</si>
  <si>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</si>
  <si>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</si>
  <si>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</si>
  <si>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</si>
  <si>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</si>
  <si>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</si>
  <si>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</si>
  <si>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</si>
  <si>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</si>
  <si>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</si>
  <si>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</si>
  <si>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</si>
  <si>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</si>
  <si>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</si>
  <si>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</si>
  <si>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</si>
  <si>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</si>
  <si>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</si>
  <si>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</si>
  <si>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</si>
  <si>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</si>
  <si>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</si>
  <si>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</si>
  <si>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</si>
  <si>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</si>
  <si>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</si>
  <si>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</si>
  <si>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</si>
  <si>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</si>
  <si>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</si>
  <si>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</si>
  <si>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</si>
  <si>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</si>
  <si>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</si>
  <si>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</si>
  <si>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</si>
  <si>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</si>
  <si>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</si>
  <si>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</si>
  <si>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</si>
  <si>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</si>
  <si>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</si>
  <si>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</si>
  <si>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</si>
  <si>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</si>
  <si>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</si>
  <si>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</si>
  <si>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</si>
  <si>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</si>
  <si>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</si>
  <si>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</si>
  <si>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</si>
  <si>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</si>
  <si>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</si>
  <si>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</si>
  <si>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</si>
  <si>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</si>
  <si>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</si>
  <si>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</si>
  <si>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</si>
  <si>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</si>
  <si>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</si>
  <si>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</si>
  <si>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</si>
  <si>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</si>
  <si>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</si>
  <si>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</si>
  <si>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</si>
  <si>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</si>
  <si>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</si>
  <si>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</si>
  <si>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</si>
  <si>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</si>
  <si>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</si>
  <si>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</si>
  <si>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</si>
  <si>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</si>
  <si>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</si>
  <si>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</si>
  <si>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</si>
  <si>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</si>
  <si>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</si>
  <si>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</si>
  <si>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</si>
  <si>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</si>
  <si>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</si>
  <si>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</si>
  <si>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</si>
  <si>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</si>
  <si>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</si>
  <si>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</si>
  <si>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</si>
  <si>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</si>
  <si>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</si>
  <si>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</si>
  <si>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</si>
  <si>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</si>
  <si>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</si>
  <si>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</si>
  <si>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</si>
  <si>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</si>
  <si>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</si>
  <si>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</si>
  <si>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</si>
  <si>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</si>
  <si>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</si>
  <si>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</si>
  <si>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</si>
  <si>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</si>
  <si>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</si>
  <si>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</si>
  <si>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</si>
  <si>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</si>
  <si>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</si>
  <si>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</si>
  <si>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</si>
  <si>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</si>
  <si>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</si>
  <si>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</si>
  <si>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</si>
  <si>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</si>
  <si>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</si>
  <si>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</si>
  <si>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</si>
  <si>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</si>
  <si>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</si>
  <si>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</si>
  <si>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</si>
  <si>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</si>
  <si>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</si>
  <si>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</si>
  <si>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</si>
  <si>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</si>
  <si>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</si>
  <si>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</si>
  <si>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</si>
  <si>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</si>
  <si>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</si>
  <si>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</si>
  <si>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</si>
  <si>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</si>
  <si>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</si>
  <si>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</si>
  <si>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</si>
  <si>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</si>
  <si>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</si>
  <si>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</si>
  <si>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</si>
  <si>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</si>
  <si>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</si>
  <si>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</si>
  <si>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</si>
  <si>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</si>
  <si>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</si>
  <si>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</si>
  <si>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</si>
  <si>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</si>
  <si>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</si>
  <si>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</si>
  <si>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</si>
  <si>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</si>
  <si>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</si>
  <si>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</si>
  <si>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</si>
  <si>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</si>
  <si>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</si>
  <si>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</si>
  <si>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</si>
  <si>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</si>
  <si>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</si>
  <si>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</si>
  <si>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</si>
  <si>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</si>
  <si>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</si>
  <si>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</si>
  <si>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</si>
  <si>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</si>
  <si>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</si>
  <si>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</si>
  <si>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</si>
  <si>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</si>
  <si>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</si>
  <si>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</si>
  <si>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</si>
  <si>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</si>
  <si>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</si>
  <si>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</si>
  <si>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</si>
  <si>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</si>
  <si>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</si>
  <si>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</si>
  <si>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</si>
  <si>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</si>
  <si>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</si>
  <si>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</si>
  <si>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</si>
  <si>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</si>
  <si>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</si>
  <si>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</si>
  <si>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</si>
  <si>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</si>
  <si>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</si>
  <si>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</si>
  <si>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</si>
  <si>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</si>
  <si>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</si>
  <si>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</si>
  <si>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</si>
  <si>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</si>
  <si>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</si>
  <si>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</si>
  <si>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</si>
  <si>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</si>
  <si>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</si>
  <si>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</si>
  <si>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</si>
  <si>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</si>
  <si>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</si>
  <si>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</si>
  <si>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</si>
  <si>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</si>
  <si>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</si>
  <si>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</si>
  <si>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</si>
  <si>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</si>
  <si>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</si>
  <si>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</si>
  <si>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</si>
  <si>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</si>
  <si>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</si>
  <si>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</si>
  <si>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</si>
  <si>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</si>
  <si>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</si>
  <si>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</si>
  <si>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</si>
  <si>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</si>
  <si>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</si>
  <si>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</si>
  <si>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</si>
  <si>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</si>
  <si>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</si>
  <si>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</si>
  <si>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</si>
  <si>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</si>
  <si>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</si>
  <si>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</si>
  <si>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</si>
  <si>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</si>
  <si>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</si>
  <si>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</si>
  <si>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</si>
  <si>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</si>
  <si>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</si>
  <si>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</si>
  <si>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</si>
  <si>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</si>
  <si>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</si>
  <si>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</si>
  <si>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</si>
  <si>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</si>
  <si>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</si>
  <si>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</si>
  <si>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</si>
  <si>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</si>
  <si>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</si>
  <si>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</si>
  <si>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</si>
  <si>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</si>
  <si>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</si>
  <si>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</si>
  <si>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</si>
  <si>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</si>
  <si>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</si>
  <si>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</si>
  <si>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</si>
  <si>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</si>
  <si>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</si>
  <si>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</si>
  <si>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</si>
  <si>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</si>
  <si>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</si>
  <si>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</si>
  <si>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</si>
  <si>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</si>
  <si>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</si>
  <si>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</si>
  <si>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</si>
  <si>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</si>
  <si>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</si>
  <si>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</si>
  <si>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</si>
  <si>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</si>
  <si>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</si>
  <si>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</si>
  <si>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</si>
  <si>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</si>
  <si>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</si>
  <si>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</si>
  <si>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</si>
  <si>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</si>
  <si>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</si>
  <si>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</si>
  <si>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</si>
  <si>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</si>
  <si>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</si>
  <si>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</si>
  <si>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</si>
  <si>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</si>
  <si>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</si>
  <si>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</si>
  <si>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</si>
  <si>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</si>
  <si>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</si>
  <si>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</si>
  <si>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</si>
  <si>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</si>
  <si>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</si>
  <si>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</si>
  <si>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</si>
  <si>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</si>
  <si>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</si>
  <si>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</si>
  <si>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</si>
  <si>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</si>
  <si>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</si>
  <si>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</si>
  <si>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</si>
  <si>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</si>
  <si>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</si>
  <si>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</si>
  <si>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</si>
  <si>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</si>
  <si>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</si>
  <si>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</si>
  <si>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</si>
  <si>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</si>
  <si>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</si>
  <si>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</si>
  <si>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</si>
  <si>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</si>
  <si>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</si>
  <si>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</si>
  <si>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</si>
  <si>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</si>
  <si>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</si>
  <si>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</si>
  <si>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</si>
  <si>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</si>
  <si>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</si>
  <si>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</si>
  <si>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</si>
  <si>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</si>
  <si>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</si>
  <si>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</si>
  <si>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</si>
  <si>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</si>
  <si>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</si>
  <si>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</si>
  <si>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</si>
  <si>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</si>
  <si>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</si>
  <si>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</si>
  <si>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</si>
  <si>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</si>
  <si>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</si>
  <si>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</si>
  <si>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</si>
  <si>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</si>
  <si>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</si>
  <si>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</si>
  <si>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</si>
  <si>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</si>
  <si>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</si>
  <si>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</si>
  <si>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</si>
  <si>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</si>
  <si>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</si>
  <si>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</si>
  <si>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</si>
  <si>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</si>
  <si>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</si>
  <si>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</si>
  <si>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</si>
  <si>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</si>
  <si>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</si>
  <si>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</si>
  <si>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</si>
  <si>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</si>
  <si>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</si>
  <si>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</si>
  <si>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</si>
  <si>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</si>
  <si>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</si>
  <si>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</si>
  <si>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</si>
  <si>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</si>
  <si>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</si>
  <si>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</si>
  <si>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</si>
  <si>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</si>
  <si>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</si>
  <si>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</si>
  <si>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</si>
  <si>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</si>
  <si>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</si>
  <si>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</si>
  <si>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</si>
  <si>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</si>
  <si>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</si>
  <si>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</si>
  <si>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</si>
  <si>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</si>
  <si>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</si>
  <si>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</si>
  <si>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</si>
  <si>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</si>
  <si>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</si>
  <si>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</si>
  <si>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</si>
  <si>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</si>
  <si>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</si>
  <si>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</si>
  <si>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</si>
  <si>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</si>
  <si>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</si>
  <si>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</si>
  <si>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</si>
  <si>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</si>
  <si>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</si>
  <si>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</si>
  <si>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</si>
  <si>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</si>
  <si>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</si>
  <si>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</si>
  <si>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</si>
  <si>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</si>
  <si>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</si>
  <si>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</si>
  <si>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</si>
  <si>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</si>
  <si>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</si>
  <si>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</si>
  <si>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</si>
  <si>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</si>
  <si>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</si>
  <si>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</si>
  <si>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</si>
  <si>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</si>
  <si>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</si>
  <si>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</si>
  <si>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</si>
  <si>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</si>
  <si>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</si>
  <si>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</si>
  <si>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</si>
  <si>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</si>
  <si>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</si>
  <si>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</si>
  <si>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</si>
  <si>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</si>
  <si>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</si>
  <si>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</si>
  <si>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</si>
  <si>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</si>
  <si>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</si>
  <si>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</si>
  <si>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</si>
  <si>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</si>
  <si>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</si>
  <si>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</si>
  <si>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</si>
  <si>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</si>
  <si>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</si>
  <si>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</si>
  <si>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</si>
  <si>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</si>
  <si>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</si>
  <si>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</si>
  <si>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</si>
  <si>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</si>
  <si>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</si>
  <si>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</si>
  <si>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</si>
  <si>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</si>
  <si>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</si>
  <si>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</si>
  <si>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</si>
  <si>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</si>
  <si>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</si>
  <si>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</si>
  <si>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</si>
  <si>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</si>
  <si>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</si>
  <si>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</si>
  <si>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</si>
  <si>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</si>
  <si>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</si>
  <si>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</si>
  <si>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</si>
  <si>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</si>
  <si>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</si>
  <si>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</si>
  <si>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</si>
  <si>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</si>
  <si>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</si>
  <si>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</si>
  <si>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</si>
  <si>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</si>
  <si>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</si>
  <si>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</si>
  <si>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</si>
  <si>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</si>
  <si>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</si>
  <si>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</si>
  <si>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</si>
  <si>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</si>
  <si>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</si>
  <si>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</si>
  <si>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</si>
  <si>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</si>
  <si>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</si>
  <si>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</si>
  <si>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</si>
  <si>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</si>
  <si>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</si>
  <si>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</si>
  <si>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</si>
  <si>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</si>
  <si>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</si>
  <si>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</si>
  <si>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</si>
  <si>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</si>
  <si>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</si>
  <si>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</si>
  <si>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</si>
  <si>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</si>
  <si>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</si>
  <si>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</si>
  <si>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</si>
  <si>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</si>
  <si>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</si>
  <si>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</si>
  <si>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</si>
  <si>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</si>
  <si>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</si>
  <si>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</si>
  <si>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</si>
  <si>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</si>
  <si>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</si>
  <si>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</si>
  <si>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</si>
  <si>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</si>
  <si>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</si>
  <si>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</si>
  <si>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</si>
  <si>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</si>
  <si>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</si>
  <si>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</si>
  <si>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</si>
  <si>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</si>
  <si>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</si>
  <si>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</si>
  <si>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</si>
  <si>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</si>
  <si>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</si>
  <si>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</si>
  <si>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</si>
  <si>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</si>
  <si>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</si>
  <si>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</si>
  <si>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</si>
  <si>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</si>
  <si>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</si>
  <si>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</si>
  <si>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</si>
  <si>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</si>
  <si>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</si>
  <si>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</si>
  <si>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</si>
  <si>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</si>
  <si>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</si>
  <si>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</si>
  <si>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</si>
  <si>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</si>
  <si>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</si>
  <si>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</si>
  <si>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</si>
  <si>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</si>
  <si>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</si>
  <si>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</si>
  <si>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</si>
  <si>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</si>
  <si>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</si>
  <si>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</si>
  <si>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</si>
  <si>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</si>
  <si>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</si>
  <si>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</si>
  <si>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</si>
  <si>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</si>
  <si>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</si>
  <si>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</si>
  <si>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</si>
  <si>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</si>
  <si>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</si>
  <si>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</si>
  <si>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</si>
  <si>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</si>
  <si>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</si>
  <si>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</si>
  <si>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</si>
  <si>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</si>
  <si>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</si>
  <si>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</si>
  <si>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</si>
  <si>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</si>
  <si>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</si>
  <si>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</si>
  <si>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</si>
  <si>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</si>
  <si>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</si>
  <si>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</si>
  <si>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</si>
  <si>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</si>
  <si>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</si>
  <si>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</si>
  <si>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</si>
  <si>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</si>
  <si>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</si>
  <si>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</si>
  <si>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</si>
  <si>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</si>
  <si>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PATRONATO DE BOMBEROS DE LEON GTO.</t>
  </si>
  <si>
    <t>Al 31 de diciembre de 2020 y al 30 de marzo de 2021 (b)</t>
  </si>
  <si>
    <t>Del 1 de enero al 30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</si>
</sst>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3302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topLeftCell="A61" workbookViewId="0">
      <selection activeCell="C70" sqref="C70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PATRONATO DE BOMBEROS DE LEON GTO.,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30 de marzo de 2021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85773489</v>
      </c>
      <c r="C8" s="40">
        <f t="shared" ref="C8:D8" si="0">SUM(C9:C11)</f>
        <v>28734982.289999999</v>
      </c>
      <c r="D8" s="40">
        <f t="shared" si="0"/>
        <v>28734982.289999999</v>
      </c>
    </row>
    <row r="9" spans="1:11" x14ac:dyDescent="0.25">
      <c r="A9" s="53" t="s">
        <v>169</v>
      </c>
      <c r="B9" s="23">
        <v>85773489</v>
      </c>
      <c r="C9" s="23">
        <v>28734982.289999999</v>
      </c>
      <c r="D9" s="23">
        <v>28734982.289999999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v>0</v>
      </c>
      <c r="C11" s="23">
        <v>0</v>
      </c>
      <c r="D11" s="23"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85773489</v>
      </c>
      <c r="C13" s="40">
        <f t="shared" ref="C13:D13" si="1">C14+C15</f>
        <v>22330573.629999999</v>
      </c>
      <c r="D13" s="40">
        <f t="shared" si="1"/>
        <v>22330573.629999999</v>
      </c>
    </row>
    <row r="14" spans="1:11" x14ac:dyDescent="0.25">
      <c r="A14" s="53" t="s">
        <v>172</v>
      </c>
      <c r="B14" s="23">
        <v>0</v>
      </c>
      <c r="C14" s="23">
        <v>0</v>
      </c>
      <c r="D14" s="23">
        <v>0</v>
      </c>
    </row>
    <row r="15" spans="1:11" x14ac:dyDescent="0.25">
      <c r="A15" s="53" t="s">
        <v>173</v>
      </c>
      <c r="B15" s="23">
        <v>85773489</v>
      </c>
      <c r="C15" s="23">
        <v>22330573.629999999</v>
      </c>
      <c r="D15" s="23">
        <v>22330573.629999999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6404408.6600000001</v>
      </c>
      <c r="D21" s="40">
        <f t="shared" si="3"/>
        <v>6404408.6600000001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4">C21-C11</f>
        <v>6404408.6600000001</v>
      </c>
      <c r="D23" s="40">
        <f t="shared" si="4"/>
        <v>6404408.6600000001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5">C23-C17</f>
        <v>6404408.6600000001</v>
      </c>
      <c r="D25" s="40">
        <f>D23-D17</f>
        <v>6404408.6600000001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7">C25+C29</f>
        <v>6404408.6600000001</v>
      </c>
      <c r="D33" s="61">
        <f t="shared" si="7"/>
        <v>6404408.6600000001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85773489</v>
      </c>
      <c r="C48" s="124">
        <f>C9</f>
        <v>28734982.289999999</v>
      </c>
      <c r="D48" s="124">
        <f t="shared" ref="D48" si="11">D9</f>
        <v>28734982.289999999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0</v>
      </c>
      <c r="C53" s="60">
        <f t="shared" ref="C53:D53" si="13">C14</f>
        <v>0</v>
      </c>
      <c r="D53" s="60">
        <f t="shared" si="13"/>
        <v>0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4">C18</f>
        <v>0</v>
      </c>
      <c r="D55" s="60">
        <f t="shared" si="14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85773489</v>
      </c>
      <c r="C57" s="61">
        <f>C48+C49-C53+C55</f>
        <v>28734982.289999999</v>
      </c>
      <c r="D57" s="61">
        <f t="shared" ref="D57" si="15">D48+D49-D53+D55</f>
        <v>28734982.289999999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85773489</v>
      </c>
      <c r="C59" s="61">
        <f t="shared" ref="C59:D59" si="16">C57-C49</f>
        <v>28734982.289999999</v>
      </c>
      <c r="D59" s="61">
        <f t="shared" si="16"/>
        <v>28734982.289999999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7">C10</f>
        <v>0</v>
      </c>
      <c r="D63" s="122">
        <f t="shared" si="17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85773489</v>
      </c>
      <c r="C68" s="23">
        <f t="shared" ref="C68:D68" si="19">C15</f>
        <v>22330573.629999999</v>
      </c>
      <c r="D68" s="23">
        <f t="shared" si="19"/>
        <v>22330573.629999999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-85773489</v>
      </c>
      <c r="C72" s="40">
        <f t="shared" ref="C72:D72" si="21">C63+C64-C68+C70</f>
        <v>-22330573.629999999</v>
      </c>
      <c r="D72" s="40">
        <f t="shared" si="21"/>
        <v>-22330573.629999999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-85773489</v>
      </c>
      <c r="C74" s="40">
        <f>C72-C64</f>
        <v>-22330573.629999999</v>
      </c>
      <c r="D74" s="40">
        <f t="shared" ref="D74" si="22">D72-D64</f>
        <v>-22330573.629999999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85773489</v>
      </c>
      <c r="Q2" s="18">
        <f>'Formato 4'!C8</f>
        <v>28734982.289999999</v>
      </c>
      <c r="R2" s="18">
        <f>'Formato 4'!D8</f>
        <v>28734982.289999999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85773489</v>
      </c>
      <c r="Q3" s="18">
        <f>'Formato 4'!C9</f>
        <v>28734982.289999999</v>
      </c>
      <c r="R3" s="18">
        <f>'Formato 4'!D9</f>
        <v>28734982.289999999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85773489</v>
      </c>
      <c r="Q6" s="18">
        <f>'Formato 4'!C13</f>
        <v>22330573.629999999</v>
      </c>
      <c r="R6" s="18">
        <f>'Formato 4'!D13</f>
        <v>22330573.629999999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0</v>
      </c>
      <c r="Q7" s="18">
        <f>'Formato 4'!C14</f>
        <v>0</v>
      </c>
      <c r="R7" s="18">
        <f>'Formato 4'!D14</f>
        <v>0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85773489</v>
      </c>
      <c r="Q8" s="18">
        <f>'Formato 4'!C15</f>
        <v>22330573.629999999</v>
      </c>
      <c r="R8" s="18">
        <f>'Formato 4'!D15</f>
        <v>22330573.629999999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6404408.6600000001</v>
      </c>
      <c r="R12" s="18">
        <f>'Formato 4'!D21</f>
        <v>6404408.6600000001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6404408.6600000001</v>
      </c>
      <c r="R13" s="18">
        <f>'Formato 4'!D23</f>
        <v>6404408.6600000001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6404408.6600000001</v>
      </c>
      <c r="R14" s="18">
        <f>'Formato 4'!D25</f>
        <v>6404408.6600000001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6404408.6600000001</v>
      </c>
      <c r="R18">
        <f>'Formato 4'!D33</f>
        <v>6404408.6600000001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85773489</v>
      </c>
      <c r="Q26">
        <f>'Formato 4'!C48</f>
        <v>28734982.289999999</v>
      </c>
      <c r="R26">
        <f>'Formato 4'!D48</f>
        <v>28734982.289999999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0</v>
      </c>
      <c r="Q30">
        <f>'Formato 4'!C53</f>
        <v>0</v>
      </c>
      <c r="R30">
        <f>'Formato 4'!D53</f>
        <v>0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85773489</v>
      </c>
      <c r="Q36">
        <f>'Formato 4'!C68</f>
        <v>22330573.629999999</v>
      </c>
      <c r="R36">
        <f>'Formato 4'!D68</f>
        <v>22330573.629999999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-85773489</v>
      </c>
      <c r="Q38">
        <f>'Formato 4'!C72</f>
        <v>-22330573.629999999</v>
      </c>
      <c r="R38">
        <f>'Formato 4'!D72</f>
        <v>-22330573.629999999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-85773489</v>
      </c>
      <c r="Q39">
        <f>'Formato 4'!C74</f>
        <v>-22330573.629999999</v>
      </c>
      <c r="R39">
        <f>'Formato 4'!D74</f>
        <v>-22330573.629999999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topLeftCell="A55" zoomScale="71" zoomScaleNormal="71" workbookViewId="0">
      <selection activeCell="B73" sqref="B73:F74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PATRONATO DE BOMBEROS DE LEON GTO.,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30 de marzo de 2021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4422960</v>
      </c>
      <c r="C15" s="60">
        <v>184502.72</v>
      </c>
      <c r="D15" s="60">
        <v>4607462.72</v>
      </c>
      <c r="E15" s="60">
        <v>1618139.25</v>
      </c>
      <c r="F15" s="60">
        <v>1618139.25</v>
      </c>
      <c r="G15" s="60">
        <f t="shared" si="0"/>
        <v>-2804820.75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x14ac:dyDescent="0.2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x14ac:dyDescent="0.2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81350529</v>
      </c>
      <c r="C34" s="60">
        <v>0</v>
      </c>
      <c r="D34" s="60">
        <v>81350529</v>
      </c>
      <c r="E34" s="60">
        <v>27116843.039999999</v>
      </c>
      <c r="F34" s="60">
        <v>27116843.039999999</v>
      </c>
      <c r="G34" s="60">
        <f t="shared" si="4"/>
        <v>-54233685.960000001</v>
      </c>
    </row>
    <row r="35" spans="1:8" x14ac:dyDescent="0.25">
      <c r="A35" s="53" t="s">
        <v>241</v>
      </c>
      <c r="B35" s="60">
        <f>B36</f>
        <v>0</v>
      </c>
      <c r="C35" s="60">
        <f t="shared" ref="C35:F35" si="5">C36</f>
        <v>0</v>
      </c>
      <c r="D35" s="60">
        <f t="shared" si="5"/>
        <v>0</v>
      </c>
      <c r="E35" s="60">
        <f t="shared" si="5"/>
        <v>0</v>
      </c>
      <c r="F35" s="60">
        <f t="shared" si="5"/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85773489</v>
      </c>
      <c r="C41" s="61">
        <f t="shared" ref="C41:E41" si="7">SUM(C9,C10,C11,C12,C13,C14,C15,C16,C28,C34,C35,C37)</f>
        <v>184502.72</v>
      </c>
      <c r="D41" s="61">
        <f t="shared" si="7"/>
        <v>85957991.719999999</v>
      </c>
      <c r="E41" s="61">
        <f t="shared" si="7"/>
        <v>28734982.289999999</v>
      </c>
      <c r="F41" s="61">
        <f>SUM(F9,F10,F11,F12,F13,F14,F15,F16,F28,F34,F35,F37)</f>
        <v>28734982.289999999</v>
      </c>
      <c r="G41" s="61">
        <f>SUM(G9,G10,G11,G12,G13,G14,G15,G16,G28,G34,G35,G37)</f>
        <v>-57038506.710000001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9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0">SUM(C55:C58)</f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1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1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1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2">SUM(C60:C61)</f>
        <v>0</v>
      </c>
      <c r="D59" s="60">
        <f t="shared" si="12"/>
        <v>0</v>
      </c>
      <c r="E59" s="60">
        <f t="shared" si="12"/>
        <v>0</v>
      </c>
      <c r="F59" s="60">
        <f t="shared" si="12"/>
        <v>0</v>
      </c>
      <c r="G59" s="60">
        <f t="shared" si="12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3">C45+C54+C59+C62+C63</f>
        <v>0</v>
      </c>
      <c r="D65" s="61">
        <f t="shared" si="13"/>
        <v>0</v>
      </c>
      <c r="E65" s="61">
        <f t="shared" si="13"/>
        <v>0</v>
      </c>
      <c r="F65" s="61">
        <f t="shared" si="13"/>
        <v>0</v>
      </c>
      <c r="G65" s="61">
        <f t="shared" si="13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4">C68</f>
        <v>647984.6</v>
      </c>
      <c r="D67" s="61">
        <f t="shared" si="14"/>
        <v>647984.6</v>
      </c>
      <c r="E67" s="61">
        <f t="shared" si="14"/>
        <v>0</v>
      </c>
      <c r="F67" s="61">
        <f t="shared" si="14"/>
        <v>0</v>
      </c>
      <c r="G67" s="61">
        <f t="shared" si="14"/>
        <v>0</v>
      </c>
    </row>
    <row r="68" spans="1:7" x14ac:dyDescent="0.25">
      <c r="A68" s="53" t="s">
        <v>269</v>
      </c>
      <c r="B68" s="60">
        <v>0</v>
      </c>
      <c r="C68" s="60">
        <v>647984.6</v>
      </c>
      <c r="D68" s="60">
        <v>647984.6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85773489</v>
      </c>
      <c r="C70" s="61">
        <f t="shared" ref="C70:G70" si="15">C41+C65+C67</f>
        <v>832487.32</v>
      </c>
      <c r="D70" s="61">
        <f t="shared" si="15"/>
        <v>86605976.319999993</v>
      </c>
      <c r="E70" s="61">
        <f t="shared" si="15"/>
        <v>28734982.289999999</v>
      </c>
      <c r="F70" s="61">
        <f t="shared" si="15"/>
        <v>28734982.289999999</v>
      </c>
      <c r="G70" s="61">
        <f t="shared" si="15"/>
        <v>-57038506.710000001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4422960</v>
      </c>
      <c r="Q9" s="18">
        <f>'Formato 5'!C15</f>
        <v>184502.72</v>
      </c>
      <c r="R9" s="18">
        <f>'Formato 5'!D15</f>
        <v>4607462.72</v>
      </c>
      <c r="S9" s="18">
        <f>'Formato 5'!E15</f>
        <v>1618139.25</v>
      </c>
      <c r="T9" s="18">
        <f>'Formato 5'!F15</f>
        <v>1618139.25</v>
      </c>
      <c r="U9" s="18">
        <f>'Formato 5'!G15</f>
        <v>-2804820.75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81350529</v>
      </c>
      <c r="Q28" s="18">
        <f>'Formato 5'!C34</f>
        <v>0</v>
      </c>
      <c r="R28" s="18">
        <f>'Formato 5'!D34</f>
        <v>81350529</v>
      </c>
      <c r="S28" s="18">
        <f>'Formato 5'!E34</f>
        <v>27116843.039999999</v>
      </c>
      <c r="T28" s="18">
        <f>'Formato 5'!F34</f>
        <v>27116843.039999999</v>
      </c>
      <c r="U28" s="18">
        <f>'Formato 5'!G34</f>
        <v>-54233685.960000001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85773489</v>
      </c>
      <c r="Q34">
        <f>'Formato 5'!C41</f>
        <v>184502.72</v>
      </c>
      <c r="R34">
        <f>'Formato 5'!D41</f>
        <v>85957991.719999999</v>
      </c>
      <c r="S34">
        <f>'Formato 5'!E41</f>
        <v>28734982.289999999</v>
      </c>
      <c r="T34">
        <f>'Formato 5'!F41</f>
        <v>28734982.289999999</v>
      </c>
      <c r="U34">
        <f>'Formato 5'!G41</f>
        <v>-57038506.710000001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647984.6</v>
      </c>
      <c r="R57">
        <f>'Formato 5'!D67</f>
        <v>647984.6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647984.6</v>
      </c>
      <c r="R58">
        <f>'Formato 5'!D68</f>
        <v>647984.6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topLeftCell="A142" zoomScale="78" zoomScaleNormal="78" zoomScalePageLayoutView="90" workbookViewId="0">
      <selection activeCell="B151" sqref="B151:F157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PATRONATO DE BOMBEROS DE LEON GTO.,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30 de marzo de 2021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0</v>
      </c>
      <c r="C9" s="79">
        <f t="shared" ref="C9:G9" si="0">SUM(C10,C18,C28,C38,C48,C58,C62,C71,C75)</f>
        <v>0</v>
      </c>
      <c r="D9" s="79">
        <f t="shared" si="0"/>
        <v>0</v>
      </c>
      <c r="E9" s="79">
        <f t="shared" si="0"/>
        <v>0</v>
      </c>
      <c r="F9" s="79">
        <f t="shared" si="0"/>
        <v>0</v>
      </c>
      <c r="G9" s="79">
        <f t="shared" si="0"/>
        <v>0</v>
      </c>
    </row>
    <row r="10" spans="1:7" ht="14.25" x14ac:dyDescent="0.45">
      <c r="A10" s="83" t="s">
        <v>286</v>
      </c>
      <c r="B10" s="80">
        <f>SUM(B11:B17)</f>
        <v>0</v>
      </c>
      <c r="C10" s="80">
        <f t="shared" ref="C10:F10" si="1">SUM(C11:C17)</f>
        <v>0</v>
      </c>
      <c r="D10" s="80">
        <f t="shared" si="1"/>
        <v>0</v>
      </c>
      <c r="E10" s="80">
        <f t="shared" si="1"/>
        <v>0</v>
      </c>
      <c r="F10" s="80">
        <f t="shared" si="1"/>
        <v>0</v>
      </c>
      <c r="G10" s="80">
        <f>SUM(G11:G17)</f>
        <v>0</v>
      </c>
    </row>
    <row r="11" spans="1:7" x14ac:dyDescent="0.25">
      <c r="A11" s="84" t="s">
        <v>287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f>D11-E11</f>
        <v>0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f>D12-E12</f>
        <v>0</v>
      </c>
    </row>
    <row r="13" spans="1:7" x14ac:dyDescent="0.25">
      <c r="A13" s="84" t="s">
        <v>289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80">
        <f t="shared" ref="G13:G17" si="2">D13-E13</f>
        <v>0</v>
      </c>
    </row>
    <row r="14" spans="1:7" x14ac:dyDescent="0.25">
      <c r="A14" s="84" t="s">
        <v>290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f t="shared" si="2"/>
        <v>0</v>
      </c>
    </row>
    <row r="15" spans="1:7" x14ac:dyDescent="0.25">
      <c r="A15" s="84" t="s">
        <v>291</v>
      </c>
      <c r="B15" s="80">
        <v>0</v>
      </c>
      <c r="C15" s="80">
        <v>0</v>
      </c>
      <c r="D15" s="80">
        <v>0</v>
      </c>
      <c r="E15" s="80">
        <v>0</v>
      </c>
      <c r="F15" s="80">
        <v>0</v>
      </c>
      <c r="G15" s="80">
        <f t="shared" si="2"/>
        <v>0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x14ac:dyDescent="0.25">
      <c r="A18" s="83" t="s">
        <v>294</v>
      </c>
      <c r="B18" s="80">
        <f>SUM(B19:B27)</f>
        <v>0</v>
      </c>
      <c r="C18" s="80">
        <f t="shared" ref="C18:F18" si="3">SUM(C19:C27)</f>
        <v>0</v>
      </c>
      <c r="D18" s="80">
        <f t="shared" si="3"/>
        <v>0</v>
      </c>
      <c r="E18" s="80">
        <f t="shared" si="3"/>
        <v>0</v>
      </c>
      <c r="F18" s="80">
        <f t="shared" si="3"/>
        <v>0</v>
      </c>
      <c r="G18" s="80">
        <f>SUM(G19:G27)</f>
        <v>0</v>
      </c>
    </row>
    <row r="19" spans="1:7" x14ac:dyDescent="0.25">
      <c r="A19" s="84" t="s">
        <v>295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f>D19-E19</f>
        <v>0</v>
      </c>
    </row>
    <row r="20" spans="1:7" x14ac:dyDescent="0.25">
      <c r="A20" s="84" t="s">
        <v>296</v>
      </c>
      <c r="B20" s="80">
        <v>0</v>
      </c>
      <c r="C20" s="80">
        <v>0</v>
      </c>
      <c r="D20" s="80">
        <v>0</v>
      </c>
      <c r="E20" s="80">
        <v>0</v>
      </c>
      <c r="F20" s="80">
        <v>0</v>
      </c>
      <c r="G20" s="80">
        <f t="shared" ref="G20:G27" si="4">D20-E20</f>
        <v>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f t="shared" si="4"/>
        <v>0</v>
      </c>
    </row>
    <row r="23" spans="1:7" x14ac:dyDescent="0.25">
      <c r="A23" s="84" t="s">
        <v>299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f t="shared" si="4"/>
        <v>0</v>
      </c>
    </row>
    <row r="24" spans="1:7" x14ac:dyDescent="0.25">
      <c r="A24" s="84" t="s">
        <v>300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f t="shared" si="4"/>
        <v>0</v>
      </c>
    </row>
    <row r="25" spans="1:7" x14ac:dyDescent="0.25">
      <c r="A25" s="84" t="s">
        <v>301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f t="shared" si="4"/>
        <v>0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f t="shared" si="4"/>
        <v>0</v>
      </c>
    </row>
    <row r="28" spans="1:7" x14ac:dyDescent="0.25">
      <c r="A28" s="83" t="s">
        <v>304</v>
      </c>
      <c r="B28" s="80">
        <f>SUM(B29:B37)</f>
        <v>0</v>
      </c>
      <c r="C28" s="80">
        <f t="shared" ref="C28:G28" si="5">SUM(C29:C37)</f>
        <v>0</v>
      </c>
      <c r="D28" s="80">
        <f t="shared" si="5"/>
        <v>0</v>
      </c>
      <c r="E28" s="80">
        <f t="shared" si="5"/>
        <v>0</v>
      </c>
      <c r="F28" s="80">
        <f t="shared" si="5"/>
        <v>0</v>
      </c>
      <c r="G28" s="80">
        <f t="shared" si="5"/>
        <v>0</v>
      </c>
    </row>
    <row r="29" spans="1:7" x14ac:dyDescent="0.25">
      <c r="A29" s="84" t="s">
        <v>305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f>D29-E29</f>
        <v>0</v>
      </c>
    </row>
    <row r="30" spans="1:7" x14ac:dyDescent="0.25">
      <c r="A30" s="84" t="s">
        <v>306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f t="shared" ref="G30:G37" si="6">D30-E30</f>
        <v>0</v>
      </c>
    </row>
    <row r="31" spans="1:7" x14ac:dyDescent="0.25">
      <c r="A31" s="84" t="s">
        <v>307</v>
      </c>
      <c r="B31" s="80">
        <v>0</v>
      </c>
      <c r="C31" s="80">
        <v>0</v>
      </c>
      <c r="D31" s="80">
        <v>0</v>
      </c>
      <c r="E31" s="80">
        <v>0</v>
      </c>
      <c r="F31" s="80">
        <v>0</v>
      </c>
      <c r="G31" s="80">
        <f t="shared" si="6"/>
        <v>0</v>
      </c>
    </row>
    <row r="32" spans="1:7" x14ac:dyDescent="0.25">
      <c r="A32" s="84" t="s">
        <v>308</v>
      </c>
      <c r="B32" s="80">
        <v>0</v>
      </c>
      <c r="C32" s="80">
        <v>0</v>
      </c>
      <c r="D32" s="80">
        <v>0</v>
      </c>
      <c r="E32" s="80">
        <v>0</v>
      </c>
      <c r="F32" s="80">
        <v>0</v>
      </c>
      <c r="G32" s="80">
        <f t="shared" si="6"/>
        <v>0</v>
      </c>
    </row>
    <row r="33" spans="1:7" x14ac:dyDescent="0.25">
      <c r="A33" s="84" t="s">
        <v>309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f t="shared" si="6"/>
        <v>0</v>
      </c>
    </row>
    <row r="34" spans="1:7" x14ac:dyDescent="0.25">
      <c r="A34" s="84" t="s">
        <v>310</v>
      </c>
      <c r="B34" s="80">
        <v>0</v>
      </c>
      <c r="C34" s="80">
        <v>0</v>
      </c>
      <c r="D34" s="80">
        <v>0</v>
      </c>
      <c r="E34" s="80">
        <v>0</v>
      </c>
      <c r="F34" s="80">
        <v>0</v>
      </c>
      <c r="G34" s="80">
        <f t="shared" si="6"/>
        <v>0</v>
      </c>
    </row>
    <row r="35" spans="1:7" x14ac:dyDescent="0.25">
      <c r="A35" s="84" t="s">
        <v>311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f t="shared" si="6"/>
        <v>0</v>
      </c>
    </row>
    <row r="36" spans="1:7" x14ac:dyDescent="0.25">
      <c r="A36" s="84" t="s">
        <v>312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f t="shared" si="6"/>
        <v>0</v>
      </c>
    </row>
    <row r="37" spans="1:7" x14ac:dyDescent="0.25">
      <c r="A37" s="84" t="s">
        <v>313</v>
      </c>
      <c r="B37" s="80">
        <v>0</v>
      </c>
      <c r="C37" s="80">
        <v>0</v>
      </c>
      <c r="D37" s="80">
        <v>0</v>
      </c>
      <c r="E37" s="80">
        <v>0</v>
      </c>
      <c r="F37" s="80">
        <v>0</v>
      </c>
      <c r="G37" s="80">
        <f t="shared" si="6"/>
        <v>0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8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9">SUM(C49:C57)</f>
        <v>0</v>
      </c>
      <c r="D48" s="80">
        <f t="shared" si="9"/>
        <v>0</v>
      </c>
      <c r="E48" s="80">
        <f t="shared" si="9"/>
        <v>0</v>
      </c>
      <c r="F48" s="80">
        <f t="shared" si="9"/>
        <v>0</v>
      </c>
      <c r="G48" s="80">
        <f t="shared" si="9"/>
        <v>0</v>
      </c>
    </row>
    <row r="49" spans="1:7" x14ac:dyDescent="0.25">
      <c r="A49" s="84" t="s">
        <v>325</v>
      </c>
      <c r="B49" s="80">
        <v>0</v>
      </c>
      <c r="C49" s="80">
        <v>0</v>
      </c>
      <c r="D49" s="80">
        <v>0</v>
      </c>
      <c r="E49" s="80">
        <v>0</v>
      </c>
      <c r="F49" s="80">
        <v>0</v>
      </c>
      <c r="G49" s="80">
        <f>D49-E49</f>
        <v>0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10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f t="shared" si="10"/>
        <v>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f t="shared" si="10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1">SUM(C59:C61)</f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f t="shared" ref="G60:G61" si="12">D60-E60</f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4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85773489</v>
      </c>
      <c r="C84" s="79">
        <f t="shared" ref="C84:G84" si="19">SUM(C85,C93,C103,C113,C123,C133,C137,C146,C150)</f>
        <v>832487.32000000007</v>
      </c>
      <c r="D84" s="79">
        <f t="shared" si="19"/>
        <v>86605976.320000008</v>
      </c>
      <c r="E84" s="79">
        <f t="shared" si="19"/>
        <v>22330573.629999999</v>
      </c>
      <c r="F84" s="79">
        <f t="shared" si="19"/>
        <v>22330573.629999999</v>
      </c>
      <c r="G84" s="79">
        <f t="shared" si="19"/>
        <v>64275402.690000005</v>
      </c>
    </row>
    <row r="85" spans="1:7" x14ac:dyDescent="0.25">
      <c r="A85" s="83" t="s">
        <v>286</v>
      </c>
      <c r="B85" s="80">
        <f>SUM(B86:B92)</f>
        <v>81350529</v>
      </c>
      <c r="C85" s="80">
        <v>0</v>
      </c>
      <c r="D85" s="80">
        <f t="shared" ref="D85:G85" si="20">SUM(D86:D92)</f>
        <v>81350529</v>
      </c>
      <c r="E85" s="80">
        <f t="shared" si="20"/>
        <v>18490298.800000001</v>
      </c>
      <c r="F85" s="80">
        <f t="shared" si="20"/>
        <v>18490298.800000001</v>
      </c>
      <c r="G85" s="80">
        <f t="shared" si="20"/>
        <v>62860230.20000001</v>
      </c>
    </row>
    <row r="86" spans="1:7" x14ac:dyDescent="0.25">
      <c r="A86" s="84" t="s">
        <v>287</v>
      </c>
      <c r="B86" s="80">
        <v>38165640</v>
      </c>
      <c r="C86" s="80">
        <v>-14396.579999999958</v>
      </c>
      <c r="D86" s="80">
        <v>38151243.420000002</v>
      </c>
      <c r="E86" s="80">
        <v>9967633.1899999995</v>
      </c>
      <c r="F86" s="80">
        <v>9967633.1899999995</v>
      </c>
      <c r="G86" s="80">
        <f>D86-E86</f>
        <v>28183610.230000004</v>
      </c>
    </row>
    <row r="87" spans="1:7" x14ac:dyDescent="0.25">
      <c r="A87" s="84" t="s">
        <v>288</v>
      </c>
      <c r="B87" s="80">
        <v>0</v>
      </c>
      <c r="C87" s="80">
        <v>7604</v>
      </c>
      <c r="D87" s="80">
        <v>7604</v>
      </c>
      <c r="E87" s="80">
        <v>7604</v>
      </c>
      <c r="F87" s="80">
        <v>7604</v>
      </c>
      <c r="G87" s="80">
        <f t="shared" ref="G87:G92" si="21">D87-E87</f>
        <v>0</v>
      </c>
    </row>
    <row r="88" spans="1:7" x14ac:dyDescent="0.25">
      <c r="A88" s="84" t="s">
        <v>289</v>
      </c>
      <c r="B88" s="80">
        <v>6893268</v>
      </c>
      <c r="C88" s="80">
        <v>0</v>
      </c>
      <c r="D88" s="80">
        <v>6893268</v>
      </c>
      <c r="E88" s="80">
        <v>1898453.61</v>
      </c>
      <c r="F88" s="80">
        <v>1898453.61</v>
      </c>
      <c r="G88" s="80">
        <f t="shared" si="21"/>
        <v>4994814.3899999997</v>
      </c>
    </row>
    <row r="89" spans="1:7" x14ac:dyDescent="0.25">
      <c r="A89" s="84" t="s">
        <v>290</v>
      </c>
      <c r="B89" s="80">
        <v>11153148</v>
      </c>
      <c r="C89" s="80">
        <v>0</v>
      </c>
      <c r="D89" s="80">
        <v>11153148</v>
      </c>
      <c r="E89" s="80">
        <v>2272883.33</v>
      </c>
      <c r="F89" s="80">
        <v>2272883.33</v>
      </c>
      <c r="G89" s="80">
        <f t="shared" si="21"/>
        <v>8880264.6699999999</v>
      </c>
    </row>
    <row r="90" spans="1:7" x14ac:dyDescent="0.25">
      <c r="A90" s="84" t="s">
        <v>291</v>
      </c>
      <c r="B90" s="80">
        <v>23393004</v>
      </c>
      <c r="C90" s="80">
        <v>14396.580000000075</v>
      </c>
      <c r="D90" s="80">
        <v>23407400.579999998</v>
      </c>
      <c r="E90" s="80">
        <v>3885918.16</v>
      </c>
      <c r="F90" s="80">
        <v>3885918.16</v>
      </c>
      <c r="G90" s="80">
        <f t="shared" si="21"/>
        <v>19521482.419999998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1"/>
        <v>0</v>
      </c>
    </row>
    <row r="92" spans="1:7" x14ac:dyDescent="0.25">
      <c r="A92" s="84" t="s">
        <v>293</v>
      </c>
      <c r="B92" s="80">
        <v>1745469</v>
      </c>
      <c r="C92" s="80">
        <v>-7604</v>
      </c>
      <c r="D92" s="80">
        <v>1737865</v>
      </c>
      <c r="E92" s="80">
        <v>457806.51</v>
      </c>
      <c r="F92" s="80">
        <v>457806.51</v>
      </c>
      <c r="G92" s="80">
        <f t="shared" si="21"/>
        <v>1280058.49</v>
      </c>
    </row>
    <row r="93" spans="1:7" x14ac:dyDescent="0.25">
      <c r="A93" s="83" t="s">
        <v>294</v>
      </c>
      <c r="B93" s="80">
        <f>SUM(B94:B102)</f>
        <v>2285532</v>
      </c>
      <c r="C93" s="80">
        <f t="shared" ref="C93:G93" si="22">SUM(C94:C102)</f>
        <v>-58030.939999999981</v>
      </c>
      <c r="D93" s="80">
        <f t="shared" si="22"/>
        <v>2227501.06</v>
      </c>
      <c r="E93" s="80">
        <f t="shared" si="22"/>
        <v>1600510.98</v>
      </c>
      <c r="F93" s="80">
        <f t="shared" si="22"/>
        <v>1600510.98</v>
      </c>
      <c r="G93" s="80">
        <f t="shared" si="22"/>
        <v>626990.07999999996</v>
      </c>
    </row>
    <row r="94" spans="1:7" x14ac:dyDescent="0.25">
      <c r="A94" s="84" t="s">
        <v>295</v>
      </c>
      <c r="B94" s="80">
        <v>124059</v>
      </c>
      <c r="C94" s="80">
        <v>11384.370000000003</v>
      </c>
      <c r="D94" s="80">
        <v>135443.37</v>
      </c>
      <c r="E94" s="80">
        <v>86766.13</v>
      </c>
      <c r="F94" s="80">
        <v>86766.13</v>
      </c>
      <c r="G94" s="80">
        <f>D94-E94</f>
        <v>48677.239999999991</v>
      </c>
    </row>
    <row r="95" spans="1:7" x14ac:dyDescent="0.25">
      <c r="A95" s="84" t="s">
        <v>296</v>
      </c>
      <c r="B95" s="80">
        <v>0</v>
      </c>
      <c r="C95" s="80">
        <v>370.98</v>
      </c>
      <c r="D95" s="80">
        <v>370.98</v>
      </c>
      <c r="E95" s="80">
        <v>370.98</v>
      </c>
      <c r="F95" s="80">
        <v>370.98</v>
      </c>
      <c r="G95" s="80">
        <f t="shared" ref="G95:G102" si="23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3"/>
        <v>0</v>
      </c>
    </row>
    <row r="97" spans="1:7" x14ac:dyDescent="0.25">
      <c r="A97" s="84" t="s">
        <v>298</v>
      </c>
      <c r="B97" s="80">
        <v>60693</v>
      </c>
      <c r="C97" s="80">
        <v>-3912.8299999999981</v>
      </c>
      <c r="D97" s="80">
        <v>56780.17</v>
      </c>
      <c r="E97" s="80">
        <v>16232.3</v>
      </c>
      <c r="F97" s="80">
        <v>16232.3</v>
      </c>
      <c r="G97" s="80">
        <f t="shared" si="23"/>
        <v>40547.869999999995</v>
      </c>
    </row>
    <row r="98" spans="1:7" x14ac:dyDescent="0.25">
      <c r="A98" s="42" t="s">
        <v>299</v>
      </c>
      <c r="B98" s="80">
        <v>332703</v>
      </c>
      <c r="C98" s="80">
        <v>135981.88</v>
      </c>
      <c r="D98" s="80">
        <v>468684.88</v>
      </c>
      <c r="E98" s="80">
        <v>424678.95</v>
      </c>
      <c r="F98" s="80">
        <v>424678.95</v>
      </c>
      <c r="G98" s="80">
        <f t="shared" si="23"/>
        <v>44005.929999999993</v>
      </c>
    </row>
    <row r="99" spans="1:7" x14ac:dyDescent="0.25">
      <c r="A99" s="84" t="s">
        <v>300</v>
      </c>
      <c r="B99" s="80">
        <v>1193721</v>
      </c>
      <c r="C99" s="80">
        <v>-149275.37</v>
      </c>
      <c r="D99" s="80">
        <v>1044445.63</v>
      </c>
      <c r="E99" s="80">
        <v>907244.85</v>
      </c>
      <c r="F99" s="80">
        <v>907244.85</v>
      </c>
      <c r="G99" s="80">
        <f t="shared" si="23"/>
        <v>137200.78000000003</v>
      </c>
    </row>
    <row r="100" spans="1:7" x14ac:dyDescent="0.25">
      <c r="A100" s="84" t="s">
        <v>301</v>
      </c>
      <c r="B100" s="80">
        <v>195507</v>
      </c>
      <c r="C100" s="80">
        <v>-5377.2099999999991</v>
      </c>
      <c r="D100" s="80">
        <v>190129.79</v>
      </c>
      <c r="E100" s="80">
        <v>6700</v>
      </c>
      <c r="F100" s="80">
        <v>6700</v>
      </c>
      <c r="G100" s="80">
        <f t="shared" si="23"/>
        <v>183429.79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3"/>
        <v>0</v>
      </c>
    </row>
    <row r="102" spans="1:7" x14ac:dyDescent="0.25">
      <c r="A102" s="84" t="s">
        <v>303</v>
      </c>
      <c r="B102" s="80">
        <v>378849</v>
      </c>
      <c r="C102" s="80">
        <v>-47202.760000000009</v>
      </c>
      <c r="D102" s="80">
        <v>331646.24</v>
      </c>
      <c r="E102" s="80">
        <v>158517.76999999999</v>
      </c>
      <c r="F102" s="80">
        <v>158517.76999999999</v>
      </c>
      <c r="G102" s="80">
        <f t="shared" si="23"/>
        <v>173128.47</v>
      </c>
    </row>
    <row r="103" spans="1:7" x14ac:dyDescent="0.25">
      <c r="A103" s="83" t="s">
        <v>304</v>
      </c>
      <c r="B103" s="80">
        <f>SUM(B104:B112)</f>
        <v>2066238</v>
      </c>
      <c r="C103" s="80">
        <f>SUM(C104:C112)</f>
        <v>652012.61</v>
      </c>
      <c r="D103" s="80">
        <f t="shared" ref="D103:G103" si="24">SUM(D104:D112)</f>
        <v>2718250.61</v>
      </c>
      <c r="E103" s="80">
        <f t="shared" si="24"/>
        <v>2126471.3800000004</v>
      </c>
      <c r="F103" s="80">
        <f t="shared" si="24"/>
        <v>2126471.3800000004</v>
      </c>
      <c r="G103" s="80">
        <f t="shared" si="24"/>
        <v>591779.23</v>
      </c>
    </row>
    <row r="104" spans="1:7" x14ac:dyDescent="0.25">
      <c r="A104" s="84" t="s">
        <v>305</v>
      </c>
      <c r="B104" s="80">
        <v>361149</v>
      </c>
      <c r="C104" s="80">
        <v>18815.419999999984</v>
      </c>
      <c r="D104" s="80">
        <v>379964.42</v>
      </c>
      <c r="E104" s="80">
        <v>295776.39</v>
      </c>
      <c r="F104" s="80">
        <v>295776.39</v>
      </c>
      <c r="G104" s="80">
        <f>D104-E104</f>
        <v>84188.02999999997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5">D105-E105</f>
        <v>0</v>
      </c>
    </row>
    <row r="106" spans="1:7" x14ac:dyDescent="0.25">
      <c r="A106" s="84" t="s">
        <v>307</v>
      </c>
      <c r="B106" s="80">
        <v>115011</v>
      </c>
      <c r="C106" s="80">
        <v>94995.97</v>
      </c>
      <c r="D106" s="80">
        <v>210006.97</v>
      </c>
      <c r="E106" s="80">
        <v>185033.97</v>
      </c>
      <c r="F106" s="80">
        <v>185033.97</v>
      </c>
      <c r="G106" s="80">
        <f t="shared" si="25"/>
        <v>24973</v>
      </c>
    </row>
    <row r="107" spans="1:7" x14ac:dyDescent="0.25">
      <c r="A107" s="84" t="s">
        <v>308</v>
      </c>
      <c r="B107" s="80">
        <v>280884</v>
      </c>
      <c r="C107" s="80">
        <v>-6255.3899999999994</v>
      </c>
      <c r="D107" s="80">
        <v>274628.61</v>
      </c>
      <c r="E107" s="80">
        <v>10047.5</v>
      </c>
      <c r="F107" s="80">
        <v>10047.5</v>
      </c>
      <c r="G107" s="80">
        <f t="shared" si="25"/>
        <v>264581.11</v>
      </c>
    </row>
    <row r="108" spans="1:7" x14ac:dyDescent="0.25">
      <c r="A108" s="84" t="s">
        <v>309</v>
      </c>
      <c r="B108" s="80">
        <v>373965</v>
      </c>
      <c r="C108" s="80">
        <v>584100.15</v>
      </c>
      <c r="D108" s="80">
        <v>958065.15</v>
      </c>
      <c r="E108" s="80">
        <v>932600.49</v>
      </c>
      <c r="F108" s="80">
        <v>932600.49</v>
      </c>
      <c r="G108" s="80">
        <f t="shared" si="25"/>
        <v>25464.660000000033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5"/>
        <v>0</v>
      </c>
    </row>
    <row r="110" spans="1:7" x14ac:dyDescent="0.25">
      <c r="A110" s="84" t="s">
        <v>311</v>
      </c>
      <c r="B110" s="80">
        <v>12102</v>
      </c>
      <c r="C110" s="80">
        <v>-1263</v>
      </c>
      <c r="D110" s="80">
        <v>10839</v>
      </c>
      <c r="E110" s="80">
        <v>2004</v>
      </c>
      <c r="F110" s="80">
        <v>2004</v>
      </c>
      <c r="G110" s="80">
        <f t="shared" si="25"/>
        <v>8835</v>
      </c>
    </row>
    <row r="111" spans="1:7" x14ac:dyDescent="0.25">
      <c r="A111" s="84" t="s">
        <v>312</v>
      </c>
      <c r="B111" s="80">
        <v>101604</v>
      </c>
      <c r="C111" s="80">
        <v>-35446.54</v>
      </c>
      <c r="D111" s="80">
        <v>66157.460000000006</v>
      </c>
      <c r="E111" s="80">
        <v>53944.12</v>
      </c>
      <c r="F111" s="80">
        <v>53944.12</v>
      </c>
      <c r="G111" s="80">
        <f t="shared" si="25"/>
        <v>12213.340000000004</v>
      </c>
    </row>
    <row r="112" spans="1:7" x14ac:dyDescent="0.25">
      <c r="A112" s="84" t="s">
        <v>313</v>
      </c>
      <c r="B112" s="80">
        <v>821523</v>
      </c>
      <c r="C112" s="80">
        <v>-2934</v>
      </c>
      <c r="D112" s="80">
        <v>818589</v>
      </c>
      <c r="E112" s="80">
        <v>647064.91</v>
      </c>
      <c r="F112" s="80">
        <v>647064.91</v>
      </c>
      <c r="G112" s="80">
        <f t="shared" si="25"/>
        <v>171524.08999999997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7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7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7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7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7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7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7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71190</v>
      </c>
      <c r="C123" s="80">
        <f t="shared" ref="C123:G123" si="28">SUM(C124:C132)</f>
        <v>238505.64999999997</v>
      </c>
      <c r="D123" s="80">
        <f t="shared" si="28"/>
        <v>309695.64999999997</v>
      </c>
      <c r="E123" s="80">
        <f t="shared" si="28"/>
        <v>113292.47</v>
      </c>
      <c r="F123" s="80">
        <f t="shared" si="28"/>
        <v>113292.47</v>
      </c>
      <c r="G123" s="80">
        <f t="shared" si="28"/>
        <v>196403.18</v>
      </c>
    </row>
    <row r="124" spans="1:7" x14ac:dyDescent="0.25">
      <c r="A124" s="84" t="s">
        <v>325</v>
      </c>
      <c r="B124" s="80">
        <v>20874</v>
      </c>
      <c r="C124" s="80">
        <v>206732.6</v>
      </c>
      <c r="D124" s="80">
        <v>227606.6</v>
      </c>
      <c r="E124" s="80">
        <v>35474.879999999997</v>
      </c>
      <c r="F124" s="80">
        <v>35474.879999999997</v>
      </c>
      <c r="G124" s="80">
        <f>D124-E124</f>
        <v>192131.72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29">D125-E125</f>
        <v>0</v>
      </c>
    </row>
    <row r="126" spans="1:7" x14ac:dyDescent="0.25">
      <c r="A126" s="84" t="s">
        <v>327</v>
      </c>
      <c r="B126" s="80">
        <v>0</v>
      </c>
      <c r="C126" s="80">
        <v>6896.55</v>
      </c>
      <c r="D126" s="80">
        <v>6896.55</v>
      </c>
      <c r="E126" s="80">
        <v>6896.55</v>
      </c>
      <c r="F126" s="80">
        <v>6896.55</v>
      </c>
      <c r="G126" s="80">
        <f t="shared" si="29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29"/>
        <v>0</v>
      </c>
    </row>
    <row r="128" spans="1:7" x14ac:dyDescent="0.25">
      <c r="A128" s="84" t="s">
        <v>329</v>
      </c>
      <c r="B128" s="80">
        <v>50316</v>
      </c>
      <c r="C128" s="80">
        <v>-46044.54</v>
      </c>
      <c r="D128" s="80">
        <v>4271.46</v>
      </c>
      <c r="E128" s="80">
        <v>0</v>
      </c>
      <c r="F128" s="80">
        <v>0</v>
      </c>
      <c r="G128" s="80">
        <f t="shared" si="29"/>
        <v>4271.46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29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9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9"/>
        <v>0</v>
      </c>
    </row>
    <row r="132" spans="1:7" x14ac:dyDescent="0.25">
      <c r="A132" s="84" t="s">
        <v>333</v>
      </c>
      <c r="B132" s="80">
        <v>0</v>
      </c>
      <c r="C132" s="80">
        <v>70921.039999999994</v>
      </c>
      <c r="D132" s="80">
        <v>70921.039999999994</v>
      </c>
      <c r="E132" s="80">
        <v>70921.039999999994</v>
      </c>
      <c r="F132" s="80">
        <v>70921.039999999994</v>
      </c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0">SUM(C134:C136)</f>
        <v>0</v>
      </c>
      <c r="D133" s="80">
        <f t="shared" si="30"/>
        <v>0</v>
      </c>
      <c r="E133" s="80">
        <f t="shared" si="30"/>
        <v>0</v>
      </c>
      <c r="F133" s="80">
        <f t="shared" si="30"/>
        <v>0</v>
      </c>
      <c r="G133" s="80">
        <f t="shared" si="30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ref="G135:G136" si="31"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3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3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3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3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3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3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5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7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7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7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7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7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85773489</v>
      </c>
      <c r="C159" s="79">
        <f t="shared" ref="C159:G159" si="38">C9+C84</f>
        <v>832487.32000000007</v>
      </c>
      <c r="D159" s="79">
        <f t="shared" si="38"/>
        <v>86605976.320000008</v>
      </c>
      <c r="E159" s="79">
        <f t="shared" si="38"/>
        <v>22330573.629999999</v>
      </c>
      <c r="F159" s="79">
        <f t="shared" si="38"/>
        <v>22330573.629999999</v>
      </c>
      <c r="G159" s="79">
        <f t="shared" si="38"/>
        <v>64275402.690000005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0</v>
      </c>
      <c r="Q2" s="18">
        <f>'Formato 6 a)'!C9</f>
        <v>0</v>
      </c>
      <c r="R2" s="18">
        <f>'Formato 6 a)'!D9</f>
        <v>0</v>
      </c>
      <c r="S2" s="18">
        <f>'Formato 6 a)'!E9</f>
        <v>0</v>
      </c>
      <c r="T2" s="18">
        <f>'Formato 6 a)'!F9</f>
        <v>0</v>
      </c>
      <c r="U2" s="18">
        <f>'Formato 6 a)'!G9</f>
        <v>0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0</v>
      </c>
      <c r="Q3" s="18">
        <f>'Formato 6 a)'!C10</f>
        <v>0</v>
      </c>
      <c r="R3" s="18">
        <f>'Formato 6 a)'!D10</f>
        <v>0</v>
      </c>
      <c r="S3" s="18">
        <f>'Formato 6 a)'!E10</f>
        <v>0</v>
      </c>
      <c r="T3" s="18">
        <f>'Formato 6 a)'!F10</f>
        <v>0</v>
      </c>
      <c r="U3" s="18">
        <f>'Formato 6 a)'!G10</f>
        <v>0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0</v>
      </c>
      <c r="Q4" s="18">
        <f>'Formato 6 a)'!C11</f>
        <v>0</v>
      </c>
      <c r="R4" s="18">
        <f>'Formato 6 a)'!D11</f>
        <v>0</v>
      </c>
      <c r="S4" s="18">
        <f>'Formato 6 a)'!E11</f>
        <v>0</v>
      </c>
      <c r="T4" s="18">
        <f>'Formato 6 a)'!F11</f>
        <v>0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0</v>
      </c>
      <c r="Q6" s="18">
        <f>'Formato 6 a)'!C13</f>
        <v>0</v>
      </c>
      <c r="R6" s="18">
        <f>'Formato 6 a)'!D13</f>
        <v>0</v>
      </c>
      <c r="S6" s="18">
        <f>'Formato 6 a)'!E13</f>
        <v>0</v>
      </c>
      <c r="T6" s="18">
        <f>'Formato 6 a)'!F13</f>
        <v>0</v>
      </c>
      <c r="U6" s="18">
        <f>'Formato 6 a)'!G13</f>
        <v>0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0</v>
      </c>
      <c r="Q8" s="18">
        <f>'Formato 6 a)'!C15</f>
        <v>0</v>
      </c>
      <c r="R8" s="18">
        <f>'Formato 6 a)'!D15</f>
        <v>0</v>
      </c>
      <c r="S8" s="18">
        <f>'Formato 6 a)'!E15</f>
        <v>0</v>
      </c>
      <c r="T8" s="18">
        <f>'Formato 6 a)'!F15</f>
        <v>0</v>
      </c>
      <c r="U8" s="18">
        <f>'Formato 6 a)'!G15</f>
        <v>0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0</v>
      </c>
      <c r="Q11" s="18">
        <f>'Formato 6 a)'!C18</f>
        <v>0</v>
      </c>
      <c r="R11" s="18">
        <f>'Formato 6 a)'!D18</f>
        <v>0</v>
      </c>
      <c r="S11" s="18">
        <f>'Formato 6 a)'!E18</f>
        <v>0</v>
      </c>
      <c r="T11" s="18">
        <f>'Formato 6 a)'!F18</f>
        <v>0</v>
      </c>
      <c r="U11" s="18">
        <f>'Formato 6 a)'!G18</f>
        <v>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0</v>
      </c>
      <c r="Q12" s="18">
        <f>'Formato 6 a)'!C19</f>
        <v>0</v>
      </c>
      <c r="R12" s="18">
        <f>'Formato 6 a)'!D19</f>
        <v>0</v>
      </c>
      <c r="S12" s="18">
        <f>'Formato 6 a)'!E19</f>
        <v>0</v>
      </c>
      <c r="T12" s="18">
        <f>'Formato 6 a)'!F19</f>
        <v>0</v>
      </c>
      <c r="U12" s="18">
        <f>'Formato 6 a)'!G19</f>
        <v>0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0</v>
      </c>
      <c r="Q21" s="18">
        <f>'Formato 6 a)'!C28</f>
        <v>0</v>
      </c>
      <c r="R21" s="18">
        <f>'Formato 6 a)'!D28</f>
        <v>0</v>
      </c>
      <c r="S21" s="18">
        <f>'Formato 6 a)'!E28</f>
        <v>0</v>
      </c>
      <c r="T21" s="18">
        <f>'Formato 6 a)'!F28</f>
        <v>0</v>
      </c>
      <c r="U21" s="18">
        <f>'Formato 6 a)'!G28</f>
        <v>0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0</v>
      </c>
      <c r="Q22" s="18">
        <f>'Formato 6 a)'!C29</f>
        <v>0</v>
      </c>
      <c r="R22" s="18">
        <f>'Formato 6 a)'!D29</f>
        <v>0</v>
      </c>
      <c r="S22" s="18">
        <f>'Formato 6 a)'!E29</f>
        <v>0</v>
      </c>
      <c r="T22" s="18">
        <f>'Formato 6 a)'!F29</f>
        <v>0</v>
      </c>
      <c r="U22" s="18">
        <f>'Formato 6 a)'!G29</f>
        <v>0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0</v>
      </c>
      <c r="Q25" s="18">
        <f>'Formato 6 a)'!C32</f>
        <v>0</v>
      </c>
      <c r="R25" s="18">
        <f>'Formato 6 a)'!D32</f>
        <v>0</v>
      </c>
      <c r="S25" s="18">
        <f>'Formato 6 a)'!E32</f>
        <v>0</v>
      </c>
      <c r="T25" s="18">
        <f>'Formato 6 a)'!F32</f>
        <v>0</v>
      </c>
      <c r="U25" s="18">
        <f>'Formato 6 a)'!G32</f>
        <v>0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0</v>
      </c>
      <c r="Q26" s="18">
        <f>'Formato 6 a)'!C33</f>
        <v>0</v>
      </c>
      <c r="R26" s="18">
        <f>'Formato 6 a)'!D33</f>
        <v>0</v>
      </c>
      <c r="S26" s="18">
        <f>'Formato 6 a)'!E33</f>
        <v>0</v>
      </c>
      <c r="T26" s="18">
        <f>'Formato 6 a)'!F33</f>
        <v>0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0</v>
      </c>
      <c r="Q28" s="18">
        <f>'Formato 6 a)'!C35</f>
        <v>0</v>
      </c>
      <c r="R28" s="18">
        <f>'Formato 6 a)'!D35</f>
        <v>0</v>
      </c>
      <c r="S28" s="18">
        <f>'Formato 6 a)'!E35</f>
        <v>0</v>
      </c>
      <c r="T28" s="18">
        <f>'Formato 6 a)'!F35</f>
        <v>0</v>
      </c>
      <c r="U28" s="18">
        <f>'Formato 6 a)'!G35</f>
        <v>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0</v>
      </c>
      <c r="Q29" s="18">
        <f>'Formato 6 a)'!C36</f>
        <v>0</v>
      </c>
      <c r="R29" s="18">
        <f>'Formato 6 a)'!D36</f>
        <v>0</v>
      </c>
      <c r="S29" s="18">
        <f>'Formato 6 a)'!E36</f>
        <v>0</v>
      </c>
      <c r="T29" s="18">
        <f>'Formato 6 a)'!F36</f>
        <v>0</v>
      </c>
      <c r="U29" s="18">
        <f>'Formato 6 a)'!G36</f>
        <v>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0</v>
      </c>
      <c r="Q30" s="18">
        <f>'Formato 6 a)'!C37</f>
        <v>0</v>
      </c>
      <c r="R30" s="18">
        <f>'Formato 6 a)'!D37</f>
        <v>0</v>
      </c>
      <c r="S30" s="18">
        <f>'Formato 6 a)'!E37</f>
        <v>0</v>
      </c>
      <c r="T30" s="18">
        <f>'Formato 6 a)'!F37</f>
        <v>0</v>
      </c>
      <c r="U30" s="18">
        <f>'Formato 6 a)'!G37</f>
        <v>0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85773489</v>
      </c>
      <c r="Q76">
        <f>'Formato 6 a)'!C84</f>
        <v>832487.32000000007</v>
      </c>
      <c r="R76">
        <f>'Formato 6 a)'!D84</f>
        <v>86605976.320000008</v>
      </c>
      <c r="S76">
        <f>'Formato 6 a)'!E84</f>
        <v>22330573.629999999</v>
      </c>
      <c r="T76">
        <f>'Formato 6 a)'!F84</f>
        <v>22330573.629999999</v>
      </c>
      <c r="U76">
        <f>'Formato 6 a)'!G84</f>
        <v>64275402.690000005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81350529</v>
      </c>
      <c r="Q77">
        <f>'Formato 6 a)'!C85</f>
        <v>0</v>
      </c>
      <c r="R77">
        <f>'Formato 6 a)'!D85</f>
        <v>81350529</v>
      </c>
      <c r="S77">
        <f>'Formato 6 a)'!E85</f>
        <v>18490298.800000001</v>
      </c>
      <c r="T77">
        <f>'Formato 6 a)'!F85</f>
        <v>18490298.800000001</v>
      </c>
      <c r="U77">
        <f>'Formato 6 a)'!G85</f>
        <v>62860230.20000001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38165640</v>
      </c>
      <c r="Q78">
        <f>'Formato 6 a)'!C86</f>
        <v>-14396.579999999958</v>
      </c>
      <c r="R78">
        <f>'Formato 6 a)'!D86</f>
        <v>38151243.420000002</v>
      </c>
      <c r="S78">
        <f>'Formato 6 a)'!E86</f>
        <v>9967633.1899999995</v>
      </c>
      <c r="T78">
        <f>'Formato 6 a)'!F86</f>
        <v>9967633.1899999995</v>
      </c>
      <c r="U78">
        <f>'Formato 6 a)'!G86</f>
        <v>28183610.230000004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7604</v>
      </c>
      <c r="R79">
        <f>'Formato 6 a)'!D87</f>
        <v>7604</v>
      </c>
      <c r="S79">
        <f>'Formato 6 a)'!E87</f>
        <v>7604</v>
      </c>
      <c r="T79">
        <f>'Formato 6 a)'!F87</f>
        <v>7604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6893268</v>
      </c>
      <c r="Q80">
        <f>'Formato 6 a)'!C88</f>
        <v>0</v>
      </c>
      <c r="R80">
        <f>'Formato 6 a)'!D88</f>
        <v>6893268</v>
      </c>
      <c r="S80">
        <f>'Formato 6 a)'!E88</f>
        <v>1898453.61</v>
      </c>
      <c r="T80">
        <f>'Formato 6 a)'!F88</f>
        <v>1898453.61</v>
      </c>
      <c r="U80">
        <f>'Formato 6 a)'!G88</f>
        <v>4994814.3899999997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11153148</v>
      </c>
      <c r="Q81">
        <f>'Formato 6 a)'!C89</f>
        <v>0</v>
      </c>
      <c r="R81">
        <f>'Formato 6 a)'!D89</f>
        <v>11153148</v>
      </c>
      <c r="S81">
        <f>'Formato 6 a)'!E89</f>
        <v>2272883.33</v>
      </c>
      <c r="T81">
        <f>'Formato 6 a)'!F89</f>
        <v>2272883.33</v>
      </c>
      <c r="U81">
        <f>'Formato 6 a)'!G89</f>
        <v>8880264.6699999999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23393004</v>
      </c>
      <c r="Q82">
        <f>'Formato 6 a)'!C90</f>
        <v>14396.580000000075</v>
      </c>
      <c r="R82">
        <f>'Formato 6 a)'!D90</f>
        <v>23407400.579999998</v>
      </c>
      <c r="S82">
        <f>'Formato 6 a)'!E90</f>
        <v>3885918.16</v>
      </c>
      <c r="T82">
        <f>'Formato 6 a)'!F90</f>
        <v>3885918.16</v>
      </c>
      <c r="U82">
        <f>'Formato 6 a)'!G90</f>
        <v>19521482.419999998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1745469</v>
      </c>
      <c r="Q84">
        <f>'Formato 6 a)'!C92</f>
        <v>-7604</v>
      </c>
      <c r="R84">
        <f>'Formato 6 a)'!D92</f>
        <v>1737865</v>
      </c>
      <c r="S84">
        <f>'Formato 6 a)'!E92</f>
        <v>457806.51</v>
      </c>
      <c r="T84">
        <f>'Formato 6 a)'!F92</f>
        <v>457806.51</v>
      </c>
      <c r="U84">
        <f>'Formato 6 a)'!G92</f>
        <v>1280058.49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2285532</v>
      </c>
      <c r="Q85">
        <f>'Formato 6 a)'!C93</f>
        <v>-58030.939999999981</v>
      </c>
      <c r="R85">
        <f>'Formato 6 a)'!D93</f>
        <v>2227501.06</v>
      </c>
      <c r="S85">
        <f>'Formato 6 a)'!E93</f>
        <v>1600510.98</v>
      </c>
      <c r="T85">
        <f>'Formato 6 a)'!F93</f>
        <v>1600510.98</v>
      </c>
      <c r="U85">
        <f>'Formato 6 a)'!G93</f>
        <v>626990.07999999996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124059</v>
      </c>
      <c r="Q86">
        <f>'Formato 6 a)'!C94</f>
        <v>11384.370000000003</v>
      </c>
      <c r="R86">
        <f>'Formato 6 a)'!D94</f>
        <v>135443.37</v>
      </c>
      <c r="S86">
        <f>'Formato 6 a)'!E94</f>
        <v>86766.13</v>
      </c>
      <c r="T86">
        <f>'Formato 6 a)'!F94</f>
        <v>86766.13</v>
      </c>
      <c r="U86">
        <f>'Formato 6 a)'!G94</f>
        <v>48677.239999999991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370.98</v>
      </c>
      <c r="R87">
        <f>'Formato 6 a)'!D95</f>
        <v>370.98</v>
      </c>
      <c r="S87">
        <f>'Formato 6 a)'!E95</f>
        <v>370.98</v>
      </c>
      <c r="T87">
        <f>'Formato 6 a)'!F95</f>
        <v>370.98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60693</v>
      </c>
      <c r="Q89">
        <f>'Formato 6 a)'!C97</f>
        <v>-3912.8299999999981</v>
      </c>
      <c r="R89">
        <f>'Formato 6 a)'!D97</f>
        <v>56780.17</v>
      </c>
      <c r="S89">
        <f>'Formato 6 a)'!E97</f>
        <v>16232.3</v>
      </c>
      <c r="T89">
        <f>'Formato 6 a)'!F97</f>
        <v>16232.3</v>
      </c>
      <c r="U89">
        <f>'Formato 6 a)'!G97</f>
        <v>40547.869999999995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332703</v>
      </c>
      <c r="Q90">
        <f>'Formato 6 a)'!C98</f>
        <v>135981.88</v>
      </c>
      <c r="R90">
        <f>'Formato 6 a)'!D98</f>
        <v>468684.88</v>
      </c>
      <c r="S90">
        <f>'Formato 6 a)'!E98</f>
        <v>424678.95</v>
      </c>
      <c r="T90">
        <f>'Formato 6 a)'!F98</f>
        <v>424678.95</v>
      </c>
      <c r="U90">
        <f>'Formato 6 a)'!G98</f>
        <v>44005.929999999993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1193721</v>
      </c>
      <c r="Q91">
        <f>'Formato 6 a)'!C99</f>
        <v>-149275.37</v>
      </c>
      <c r="R91">
        <f>'Formato 6 a)'!D99</f>
        <v>1044445.63</v>
      </c>
      <c r="S91">
        <f>'Formato 6 a)'!E99</f>
        <v>907244.85</v>
      </c>
      <c r="T91">
        <f>'Formato 6 a)'!F99</f>
        <v>907244.85</v>
      </c>
      <c r="U91">
        <f>'Formato 6 a)'!G99</f>
        <v>137200.78000000003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195507</v>
      </c>
      <c r="Q92">
        <f>'Formato 6 a)'!C100</f>
        <v>-5377.2099999999991</v>
      </c>
      <c r="R92">
        <f>'Formato 6 a)'!D100</f>
        <v>190129.79</v>
      </c>
      <c r="S92">
        <f>'Formato 6 a)'!E100</f>
        <v>6700</v>
      </c>
      <c r="T92">
        <f>'Formato 6 a)'!F100</f>
        <v>6700</v>
      </c>
      <c r="U92">
        <f>'Formato 6 a)'!G100</f>
        <v>183429.79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378849</v>
      </c>
      <c r="Q94">
        <f>'Formato 6 a)'!C102</f>
        <v>-47202.760000000009</v>
      </c>
      <c r="R94">
        <f>'Formato 6 a)'!D102</f>
        <v>331646.24</v>
      </c>
      <c r="S94">
        <f>'Formato 6 a)'!E102</f>
        <v>158517.76999999999</v>
      </c>
      <c r="T94">
        <f>'Formato 6 a)'!F102</f>
        <v>158517.76999999999</v>
      </c>
      <c r="U94">
        <f>'Formato 6 a)'!G102</f>
        <v>173128.47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2066238</v>
      </c>
      <c r="Q95">
        <f>'Formato 6 a)'!C103</f>
        <v>652012.61</v>
      </c>
      <c r="R95">
        <f>'Formato 6 a)'!D103</f>
        <v>2718250.61</v>
      </c>
      <c r="S95">
        <f>'Formato 6 a)'!E103</f>
        <v>2126471.3800000004</v>
      </c>
      <c r="T95">
        <f>'Formato 6 a)'!F103</f>
        <v>2126471.3800000004</v>
      </c>
      <c r="U95">
        <f>'Formato 6 a)'!G103</f>
        <v>591779.23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361149</v>
      </c>
      <c r="Q96">
        <f>'Formato 6 a)'!C104</f>
        <v>18815.419999999984</v>
      </c>
      <c r="R96">
        <f>'Formato 6 a)'!D104</f>
        <v>379964.42</v>
      </c>
      <c r="S96">
        <f>'Formato 6 a)'!E104</f>
        <v>295776.39</v>
      </c>
      <c r="T96">
        <f>'Formato 6 a)'!F104</f>
        <v>295776.39</v>
      </c>
      <c r="U96">
        <f>'Formato 6 a)'!G104</f>
        <v>84188.02999999997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115011</v>
      </c>
      <c r="Q98">
        <f>'Formato 6 a)'!C106</f>
        <v>94995.97</v>
      </c>
      <c r="R98">
        <f>'Formato 6 a)'!D106</f>
        <v>210006.97</v>
      </c>
      <c r="S98">
        <f>'Formato 6 a)'!E106</f>
        <v>185033.97</v>
      </c>
      <c r="T98">
        <f>'Formato 6 a)'!F106</f>
        <v>185033.97</v>
      </c>
      <c r="U98">
        <f>'Formato 6 a)'!G106</f>
        <v>24973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280884</v>
      </c>
      <c r="Q99">
        <f>'Formato 6 a)'!C107</f>
        <v>-6255.3899999999994</v>
      </c>
      <c r="R99">
        <f>'Formato 6 a)'!D107</f>
        <v>274628.61</v>
      </c>
      <c r="S99">
        <f>'Formato 6 a)'!E107</f>
        <v>10047.5</v>
      </c>
      <c r="T99">
        <f>'Formato 6 a)'!F107</f>
        <v>10047.5</v>
      </c>
      <c r="U99">
        <f>'Formato 6 a)'!G107</f>
        <v>264581.11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373965</v>
      </c>
      <c r="Q100">
        <f>'Formato 6 a)'!C108</f>
        <v>584100.15</v>
      </c>
      <c r="R100">
        <f>'Formato 6 a)'!D108</f>
        <v>958065.15</v>
      </c>
      <c r="S100">
        <f>'Formato 6 a)'!E108</f>
        <v>932600.49</v>
      </c>
      <c r="T100">
        <f>'Formato 6 a)'!F108</f>
        <v>932600.49</v>
      </c>
      <c r="U100">
        <f>'Formato 6 a)'!G108</f>
        <v>25464.660000000033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12102</v>
      </c>
      <c r="Q102">
        <f>'Formato 6 a)'!C110</f>
        <v>-1263</v>
      </c>
      <c r="R102">
        <f>'Formato 6 a)'!D110</f>
        <v>10839</v>
      </c>
      <c r="S102">
        <f>'Formato 6 a)'!E110</f>
        <v>2004</v>
      </c>
      <c r="T102">
        <f>'Formato 6 a)'!F110</f>
        <v>2004</v>
      </c>
      <c r="U102">
        <f>'Formato 6 a)'!G110</f>
        <v>8835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101604</v>
      </c>
      <c r="Q103">
        <f>'Formato 6 a)'!C111</f>
        <v>-35446.54</v>
      </c>
      <c r="R103">
        <f>'Formato 6 a)'!D111</f>
        <v>66157.460000000006</v>
      </c>
      <c r="S103">
        <f>'Formato 6 a)'!E111</f>
        <v>53944.12</v>
      </c>
      <c r="T103">
        <f>'Formato 6 a)'!F111</f>
        <v>53944.12</v>
      </c>
      <c r="U103">
        <f>'Formato 6 a)'!G111</f>
        <v>12213.340000000004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821523</v>
      </c>
      <c r="Q104">
        <f>'Formato 6 a)'!C112</f>
        <v>-2934</v>
      </c>
      <c r="R104">
        <f>'Formato 6 a)'!D112</f>
        <v>818589</v>
      </c>
      <c r="S104">
        <f>'Formato 6 a)'!E112</f>
        <v>647064.91</v>
      </c>
      <c r="T104">
        <f>'Formato 6 a)'!F112</f>
        <v>647064.91</v>
      </c>
      <c r="U104">
        <f>'Formato 6 a)'!G112</f>
        <v>171524.08999999997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71190</v>
      </c>
      <c r="Q115">
        <f>'Formato 6 a)'!C123</f>
        <v>238505.64999999997</v>
      </c>
      <c r="R115">
        <f>'Formato 6 a)'!D123</f>
        <v>309695.64999999997</v>
      </c>
      <c r="S115">
        <f>'Formato 6 a)'!E123</f>
        <v>113292.47</v>
      </c>
      <c r="T115">
        <f>'Formato 6 a)'!F123</f>
        <v>113292.47</v>
      </c>
      <c r="U115">
        <f>'Formato 6 a)'!G123</f>
        <v>196403.18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20874</v>
      </c>
      <c r="Q116">
        <f>'Formato 6 a)'!C124</f>
        <v>206732.6</v>
      </c>
      <c r="R116">
        <f>'Formato 6 a)'!D124</f>
        <v>227606.6</v>
      </c>
      <c r="S116">
        <f>'Formato 6 a)'!E124</f>
        <v>35474.879999999997</v>
      </c>
      <c r="T116">
        <f>'Formato 6 a)'!F124</f>
        <v>35474.879999999997</v>
      </c>
      <c r="U116">
        <f>'Formato 6 a)'!G124</f>
        <v>192131.72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6896.55</v>
      </c>
      <c r="R118">
        <f>'Formato 6 a)'!D126</f>
        <v>6896.55</v>
      </c>
      <c r="S118">
        <f>'Formato 6 a)'!E126</f>
        <v>6896.55</v>
      </c>
      <c r="T118">
        <f>'Formato 6 a)'!F126</f>
        <v>6896.55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50316</v>
      </c>
      <c r="Q120">
        <f>'Formato 6 a)'!C128</f>
        <v>-46044.54</v>
      </c>
      <c r="R120">
        <f>'Formato 6 a)'!D128</f>
        <v>4271.46</v>
      </c>
      <c r="S120">
        <f>'Formato 6 a)'!E128</f>
        <v>0</v>
      </c>
      <c r="T120">
        <f>'Formato 6 a)'!F128</f>
        <v>0</v>
      </c>
      <c r="U120">
        <f>'Formato 6 a)'!G128</f>
        <v>4271.46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70921.039999999994</v>
      </c>
      <c r="R124">
        <f>'Formato 6 a)'!D132</f>
        <v>70921.039999999994</v>
      </c>
      <c r="S124">
        <f>'Formato 6 a)'!E132</f>
        <v>70921.039999999994</v>
      </c>
      <c r="T124">
        <f>'Formato 6 a)'!F132</f>
        <v>70921.039999999994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85773489</v>
      </c>
      <c r="Q150">
        <f>'Formato 6 a)'!C159</f>
        <v>832487.32000000007</v>
      </c>
      <c r="R150">
        <f>'Formato 6 a)'!D159</f>
        <v>86605976.320000008</v>
      </c>
      <c r="S150">
        <f>'Formato 6 a)'!E159</f>
        <v>22330573.629999999</v>
      </c>
      <c r="T150">
        <f>'Formato 6 a)'!F159</f>
        <v>22330573.629999999</v>
      </c>
      <c r="U150">
        <f>'Formato 6 a)'!G159</f>
        <v>64275402.690000005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topLeftCell="A13" zoomScale="90" zoomScaleNormal="90" workbookViewId="0">
      <selection activeCell="B20" sqref="B20:F27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PATRONATO DE BOMBEROS DE LEON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0</v>
      </c>
      <c r="C9" s="59">
        <f>SUM(C10:GASTO_NE_FIN_02)</f>
        <v>0</v>
      </c>
      <c r="D9" s="59">
        <f>SUM(D10:GASTO_NE_FIN_03)</f>
        <v>0</v>
      </c>
      <c r="E9" s="59">
        <f>SUM(E10:GASTO_NE_FIN_04)</f>
        <v>0</v>
      </c>
      <c r="F9" s="59">
        <f>SUM(F10:GASTO_NE_FIN_05)</f>
        <v>0</v>
      </c>
      <c r="G9" s="59">
        <f>SUM(G10:GASTO_NE_FIN_06)</f>
        <v>0</v>
      </c>
    </row>
    <row r="10" spans="1:7" s="24" customFormat="1" x14ac:dyDescent="0.25">
      <c r="A10" s="144" t="s">
        <v>432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77">
        <f>D10-E10</f>
        <v>0</v>
      </c>
    </row>
    <row r="11" spans="1:7" s="24" customFormat="1" x14ac:dyDescent="0.25">
      <c r="A11" s="144" t="s">
        <v>433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f t="shared" ref="G11:G17" si="0">D11-E11</f>
        <v>0</v>
      </c>
    </row>
    <row r="12" spans="1:7" s="24" customFormat="1" x14ac:dyDescent="0.25">
      <c r="A12" s="144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f t="shared" si="0"/>
        <v>0</v>
      </c>
    </row>
    <row r="13" spans="1:7" s="24" customFormat="1" x14ac:dyDescent="0.25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0"/>
        <v>0</v>
      </c>
    </row>
    <row r="14" spans="1:7" s="24" customFormat="1" x14ac:dyDescent="0.25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 x14ac:dyDescent="0.25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 x14ac:dyDescent="0.25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x14ac:dyDescent="0.25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85773489</v>
      </c>
      <c r="C19" s="61">
        <f>SUM(C20:GASTO_E_FIN_02)</f>
        <v>832487.32000000007</v>
      </c>
      <c r="D19" s="61">
        <f>SUM(D20:GASTO_E_FIN_03)</f>
        <v>86605976.320000008</v>
      </c>
      <c r="E19" s="61">
        <f>SUM(E20:GASTO_E_FIN_04)</f>
        <v>22330573.629999999</v>
      </c>
      <c r="F19" s="61">
        <f>SUM(F20:GASTO_E_FIN_05)</f>
        <v>22330573.629999999</v>
      </c>
      <c r="G19" s="61">
        <f>SUM(G20:GASTO_E_FIN_06)</f>
        <v>64275402.690000013</v>
      </c>
    </row>
    <row r="20" spans="1:7" s="24" customFormat="1" x14ac:dyDescent="0.25">
      <c r="A20" s="144" t="s">
        <v>432</v>
      </c>
      <c r="B20" s="60">
        <v>85773489</v>
      </c>
      <c r="C20" s="60">
        <v>832487.32000000007</v>
      </c>
      <c r="D20" s="60">
        <v>86605976.320000008</v>
      </c>
      <c r="E20" s="60">
        <v>22330573.629999999</v>
      </c>
      <c r="F20" s="60">
        <v>22330573.629999999</v>
      </c>
      <c r="G20" s="60">
        <f>D20-E20</f>
        <v>64275402.690000013</v>
      </c>
    </row>
    <row r="21" spans="1:7" s="24" customFormat="1" x14ac:dyDescent="0.2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x14ac:dyDescent="0.2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x14ac:dyDescent="0.2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x14ac:dyDescent="0.2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x14ac:dyDescent="0.2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x14ac:dyDescent="0.2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x14ac:dyDescent="0.2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85773489</v>
      </c>
      <c r="C29" s="61">
        <f>GASTO_NE_T2+GASTO_E_T2</f>
        <v>832487.32000000007</v>
      </c>
      <c r="D29" s="61">
        <f>GASTO_NE_T3+GASTO_E_T3</f>
        <v>86605976.320000008</v>
      </c>
      <c r="E29" s="61">
        <f>GASTO_NE_T4+GASTO_E_T4</f>
        <v>22330573.629999999</v>
      </c>
      <c r="F29" s="61">
        <f>GASTO_NE_T5+GASTO_E_T5</f>
        <v>22330573.629999999</v>
      </c>
      <c r="G29" s="61">
        <f>GASTO_NE_T6+GASTO_E_T6</f>
        <v>64275402.690000013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0</v>
      </c>
      <c r="Q2" s="18">
        <f>GASTO_NE_T2</f>
        <v>0</v>
      </c>
      <c r="R2" s="18">
        <f>GASTO_NE_T3</f>
        <v>0</v>
      </c>
      <c r="S2" s="18">
        <f>GASTO_NE_T4</f>
        <v>0</v>
      </c>
      <c r="T2" s="18">
        <f>GASTO_NE_T5</f>
        <v>0</v>
      </c>
      <c r="U2" s="18">
        <f>GASTO_NE_T6</f>
        <v>0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85773489</v>
      </c>
      <c r="Q3" s="18">
        <f>GASTO_E_T2</f>
        <v>832487.32000000007</v>
      </c>
      <c r="R3" s="18">
        <f>GASTO_E_T3</f>
        <v>86605976.320000008</v>
      </c>
      <c r="S3" s="18">
        <f>GASTO_E_T4</f>
        <v>22330573.629999999</v>
      </c>
      <c r="T3" s="18">
        <f>GASTO_E_T5</f>
        <v>22330573.629999999</v>
      </c>
      <c r="U3" s="18">
        <f>GASTO_E_T6</f>
        <v>64275402.690000013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85773489</v>
      </c>
      <c r="Q4" s="18">
        <f>TOTAL_E_T2</f>
        <v>832487.32000000007</v>
      </c>
      <c r="R4" s="18">
        <f>TOTAL_E_T3</f>
        <v>86605976.320000008</v>
      </c>
      <c r="S4" s="18">
        <f>TOTAL_E_T4</f>
        <v>22330573.629999999</v>
      </c>
      <c r="T4" s="18">
        <f>TOTAL_E_T5</f>
        <v>22330573.629999999</v>
      </c>
      <c r="U4" s="18">
        <f>TOTAL_E_T6</f>
        <v>64275402.690000013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topLeftCell="A68" zoomScale="90" zoomScaleNormal="90" workbookViewId="0">
      <selection activeCell="B72" sqref="B72:F75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PATRONATO DE BOMBEROS DE LEON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0</v>
      </c>
      <c r="C9" s="70">
        <f t="shared" ref="C9:G9" si="0">SUM(C10,C19,C27,C37)</f>
        <v>0</v>
      </c>
      <c r="D9" s="70">
        <f t="shared" si="0"/>
        <v>0</v>
      </c>
      <c r="E9" s="70">
        <f t="shared" si="0"/>
        <v>0</v>
      </c>
      <c r="F9" s="70">
        <f t="shared" si="0"/>
        <v>0</v>
      </c>
      <c r="G9" s="70">
        <f t="shared" si="0"/>
        <v>0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x14ac:dyDescent="0.2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x14ac:dyDescent="0.2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x14ac:dyDescent="0.2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x14ac:dyDescent="0.2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x14ac:dyDescent="0.2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0</v>
      </c>
      <c r="C19" s="71">
        <f t="shared" ref="C19:F19" si="3">SUM(C20:C26)</f>
        <v>0</v>
      </c>
      <c r="D19" s="71">
        <f t="shared" si="3"/>
        <v>0</v>
      </c>
      <c r="E19" s="71">
        <f t="shared" si="3"/>
        <v>0</v>
      </c>
      <c r="F19" s="71">
        <f t="shared" si="3"/>
        <v>0</v>
      </c>
      <c r="G19" s="71">
        <f>SUM(G20:G26)</f>
        <v>0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 x14ac:dyDescent="0.25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2">
        <f t="shared" ref="G21:G26" si="4">D21-E21</f>
        <v>0</v>
      </c>
    </row>
    <row r="22" spans="1:7" x14ac:dyDescent="0.2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 t="shared" si="4"/>
        <v>0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f t="shared" si="4"/>
        <v>0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 t="shared" si="4"/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6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6"/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6"/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6"/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6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6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85773489</v>
      </c>
      <c r="C43" s="73">
        <f t="shared" ref="C43:G43" si="9">SUM(C44,C53,C61,C71)</f>
        <v>832487.32000000007</v>
      </c>
      <c r="D43" s="73">
        <f t="shared" si="9"/>
        <v>86605976.320000008</v>
      </c>
      <c r="E43" s="73">
        <f t="shared" si="9"/>
        <v>22330573.629999999</v>
      </c>
      <c r="F43" s="73">
        <f t="shared" si="9"/>
        <v>22330573.629999999</v>
      </c>
      <c r="G43" s="73">
        <f t="shared" si="9"/>
        <v>64275402.690000013</v>
      </c>
    </row>
    <row r="44" spans="1:7" x14ac:dyDescent="0.25">
      <c r="A44" s="53" t="s">
        <v>430</v>
      </c>
      <c r="B44" s="72">
        <f>SUM(B45:B52)</f>
        <v>85773489</v>
      </c>
      <c r="C44" s="72">
        <f t="shared" ref="C44:G44" si="10">SUM(C45:C52)</f>
        <v>832487.32000000007</v>
      </c>
      <c r="D44" s="72">
        <f t="shared" si="10"/>
        <v>86605976.320000008</v>
      </c>
      <c r="E44" s="72">
        <f t="shared" si="10"/>
        <v>22330573.629999999</v>
      </c>
      <c r="F44" s="72">
        <f t="shared" si="10"/>
        <v>22330573.629999999</v>
      </c>
      <c r="G44" s="72">
        <f t="shared" si="10"/>
        <v>64275402.690000013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85773489</v>
      </c>
      <c r="C51" s="72">
        <v>832487.32000000007</v>
      </c>
      <c r="D51" s="72">
        <v>86605976.320000008</v>
      </c>
      <c r="E51" s="72">
        <v>22330573.629999999</v>
      </c>
      <c r="F51" s="72">
        <v>22330573.629999999</v>
      </c>
      <c r="G51" s="72">
        <f t="shared" si="11"/>
        <v>64275402.690000013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3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3"/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3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3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5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5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5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5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5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5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17"/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85773489</v>
      </c>
      <c r="C77" s="73">
        <f t="shared" ref="C77:F77" si="18">C43+C9</f>
        <v>832487.32000000007</v>
      </c>
      <c r="D77" s="73">
        <f t="shared" si="18"/>
        <v>86605976.320000008</v>
      </c>
      <c r="E77" s="73">
        <f t="shared" si="18"/>
        <v>22330573.629999999</v>
      </c>
      <c r="F77" s="73">
        <f t="shared" si="18"/>
        <v>22330573.629999999</v>
      </c>
      <c r="G77" s="73">
        <f>G43+G9</f>
        <v>64275402.690000013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0</v>
      </c>
      <c r="Q2" s="18">
        <f>'Formato 6 c)'!C9</f>
        <v>0</v>
      </c>
      <c r="R2" s="18">
        <f>'Formato 6 c)'!D9</f>
        <v>0</v>
      </c>
      <c r="S2" s="18">
        <f>'Formato 6 c)'!E9</f>
        <v>0</v>
      </c>
      <c r="T2" s="18">
        <f>'Formato 6 c)'!F9</f>
        <v>0</v>
      </c>
      <c r="U2" s="18">
        <f>'Formato 6 c)'!G9</f>
        <v>0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85773489</v>
      </c>
      <c r="Q35" s="18">
        <f>'Formato 6 c)'!C43</f>
        <v>832487.32000000007</v>
      </c>
      <c r="R35" s="18">
        <f>'Formato 6 c)'!D43</f>
        <v>86605976.320000008</v>
      </c>
      <c r="S35" s="18">
        <f>'Formato 6 c)'!E43</f>
        <v>22330573.629999999</v>
      </c>
      <c r="T35" s="18">
        <f>'Formato 6 c)'!F43</f>
        <v>22330573.629999999</v>
      </c>
      <c r="U35" s="18">
        <f>'Formato 6 c)'!G43</f>
        <v>64275402.690000013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85773489</v>
      </c>
      <c r="Q36" s="18">
        <f>'Formato 6 c)'!C44</f>
        <v>832487.32000000007</v>
      </c>
      <c r="R36" s="18">
        <f>'Formato 6 c)'!D44</f>
        <v>86605976.320000008</v>
      </c>
      <c r="S36" s="18">
        <f>'Formato 6 c)'!E44</f>
        <v>22330573.629999999</v>
      </c>
      <c r="T36" s="18">
        <f>'Formato 6 c)'!F44</f>
        <v>22330573.629999999</v>
      </c>
      <c r="U36" s="18">
        <f>'Formato 6 c)'!G44</f>
        <v>64275402.690000013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85773489</v>
      </c>
      <c r="Q43" s="18">
        <f>'Formato 6 c)'!C51</f>
        <v>832487.32000000007</v>
      </c>
      <c r="R43" s="18">
        <f>'Formato 6 c)'!D51</f>
        <v>86605976.320000008</v>
      </c>
      <c r="S43" s="18">
        <f>'Formato 6 c)'!E51</f>
        <v>22330573.629999999</v>
      </c>
      <c r="T43" s="18">
        <f>'Formato 6 c)'!F51</f>
        <v>22330573.629999999</v>
      </c>
      <c r="U43" s="18">
        <f>'Formato 6 c)'!G51</f>
        <v>64275402.690000013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85773489</v>
      </c>
      <c r="Q68" s="18">
        <f>'Formato 6 c)'!C77</f>
        <v>832487.32000000007</v>
      </c>
      <c r="R68" s="18">
        <f>'Formato 6 c)'!D77</f>
        <v>86605976.320000008</v>
      </c>
      <c r="S68" s="18">
        <f>'Formato 6 c)'!E77</f>
        <v>22330573.629999999</v>
      </c>
      <c r="T68" s="18">
        <f>'Formato 6 c)'!F77</f>
        <v>22330573.629999999</v>
      </c>
      <c r="U68" s="18">
        <f>'Formato 6 c)'!G77</f>
        <v>64275402.690000013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PATRONATO DE BOMBEROS DE LEON GTO., Gobierno del Estado de Guanajuato</v>
      </c>
    </row>
    <row r="7" spans="2:3" ht="14.25" x14ac:dyDescent="0.45">
      <c r="C7" t="str">
        <f>CONCATENATE(ENTE_PUBLICO," (a)")</f>
        <v>PATRONATO DE BOMBEROS DE LEON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807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Guanajuato, Gobierno del Estado de Guanajuato</v>
      </c>
    </row>
    <row r="12" spans="2:3" x14ac:dyDescent="0.25">
      <c r="B12" t="s">
        <v>794</v>
      </c>
      <c r="C12" s="24">
        <v>2021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1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2021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2021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2021 (m = g – l)</v>
      </c>
    </row>
    <row r="20" spans="4:9" ht="57" x14ac:dyDescent="0.45">
      <c r="D20" s="21" t="str">
        <f>CONCATENATE(ANIO_INFORME, " (d)")</f>
        <v>2021 (d)</v>
      </c>
      <c r="E20" s="22" t="str">
        <f>CONCATENATE("31 de diciembre de ",ANIO_INFORME-1, " (e)")</f>
        <v>31 de diciembre de 2020 (e)</v>
      </c>
      <c r="F20" s="31" t="str">
        <f>CONCATENATE("Saldo al 31 de diciembre de ",ANIO_INFORME-1, " (d)")</f>
        <v>Saldo al 31 de diciembre de 2020 (d)</v>
      </c>
    </row>
    <row r="23" spans="4:9" ht="14.25" x14ac:dyDescent="0.45">
      <c r="D23" s="33">
        <f>ANIO_INFORME + 1</f>
        <v>2022</v>
      </c>
      <c r="E23" s="34" t="str">
        <f>CONCATENATE(ANIO_INFORME + 2, " (d)")</f>
        <v>2023 (d)</v>
      </c>
      <c r="F23" s="34" t="str">
        <f>CONCATENATE(ANIO_INFORME + 3, " (d)")</f>
        <v>2024 (d)</v>
      </c>
      <c r="G23" s="34" t="str">
        <f>CONCATENATE(ANIO_INFORME + 4, " (d)")</f>
        <v>2025 (d)</v>
      </c>
      <c r="H23" s="34" t="str">
        <f>CONCATENATE(ANIO_INFORME + 5, " (d)")</f>
        <v>2026 (d)</v>
      </c>
      <c r="I23" s="34" t="str">
        <f>CONCATENATE(ANIO_INFORME + 6, " (d)")</f>
        <v>2027 (d)</v>
      </c>
    </row>
    <row r="25" spans="4:9" x14ac:dyDescent="0.25">
      <c r="D25" s="35" t="str">
        <f>CONCATENATE(ANIO_INFORME - 5, " ",CHAR(185)," (c)")</f>
        <v>2016 ¹ (c)</v>
      </c>
      <c r="E25" s="35" t="str">
        <f>CONCATENATE(ANIO_INFORME - 4, " ",CHAR(185)," (c)")</f>
        <v>2017 ¹ (c)</v>
      </c>
      <c r="F25" s="35" t="str">
        <f>CONCATENATE(ANIO_INFORME - 3, " ",CHAR(185)," (c)")</f>
        <v>2018 ¹ (c)</v>
      </c>
      <c r="G25" s="35" t="str">
        <f>CONCATENATE(ANIO_INFORME - 2, " ",CHAR(185)," (c)")</f>
        <v>2019 ¹ (c)</v>
      </c>
      <c r="H25" s="35" t="str">
        <f>CONCATENATE(ANIO_INFORME - 1, " ",CHAR(185)," (c)")</f>
        <v>2020 ¹ (c)</v>
      </c>
      <c r="I25" s="33">
        <f>ANIO_INFORME</f>
        <v>2021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topLeftCell="A22" zoomScale="71" zoomScaleNormal="71" workbookViewId="0">
      <selection activeCell="C28" sqref="C28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PATRONATO DE BOMBEROS DE LEON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30 de marzo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0</v>
      </c>
      <c r="C9" s="66">
        <f t="shared" ref="C9:F9" si="0">SUM(C10,C11,C12,C15,C16,C19)</f>
        <v>0</v>
      </c>
      <c r="D9" s="66">
        <f t="shared" si="0"/>
        <v>0</v>
      </c>
      <c r="E9" s="66">
        <f t="shared" si="0"/>
        <v>0</v>
      </c>
      <c r="F9" s="66">
        <f t="shared" si="0"/>
        <v>0</v>
      </c>
      <c r="G9" s="66">
        <f>SUM(G10,G11,G12,G15,G16,G19)</f>
        <v>0</v>
      </c>
    </row>
    <row r="10" spans="1:7" x14ac:dyDescent="0.25">
      <c r="A10" s="53" t="s">
        <v>401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f>D10-E10</f>
        <v>0</v>
      </c>
    </row>
    <row r="11" spans="1:7" x14ac:dyDescent="0.2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2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2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81350529</v>
      </c>
      <c r="C21" s="66">
        <f t="shared" ref="C21:F21" si="4">SUM(C22,C23,C24,C27,C28,C31)</f>
        <v>0</v>
      </c>
      <c r="D21" s="66">
        <f t="shared" si="4"/>
        <v>81350529</v>
      </c>
      <c r="E21" s="66">
        <f t="shared" si="4"/>
        <v>18490298.800000001</v>
      </c>
      <c r="F21" s="66">
        <f t="shared" si="4"/>
        <v>18490298.800000001</v>
      </c>
      <c r="G21" s="66">
        <f>SUM(G22,G23,G24,G27,G28,G31)</f>
        <v>62860230.200000003</v>
      </c>
    </row>
    <row r="22" spans="1:7" s="24" customFormat="1" x14ac:dyDescent="0.2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81350529</v>
      </c>
      <c r="C27" s="67">
        <v>0</v>
      </c>
      <c r="D27" s="67">
        <v>81350529</v>
      </c>
      <c r="E27" s="67">
        <v>18490298.800000001</v>
      </c>
      <c r="F27" s="67">
        <v>18490298.800000001</v>
      </c>
      <c r="G27" s="67">
        <f t="shared" si="6"/>
        <v>62860230.200000003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81350529</v>
      </c>
      <c r="C33" s="66">
        <f t="shared" ref="C33:G33" si="9">C21+C9</f>
        <v>0</v>
      </c>
      <c r="D33" s="66">
        <f t="shared" si="9"/>
        <v>81350529</v>
      </c>
      <c r="E33" s="66">
        <f t="shared" si="9"/>
        <v>18490298.800000001</v>
      </c>
      <c r="F33" s="66">
        <f t="shared" si="9"/>
        <v>18490298.800000001</v>
      </c>
      <c r="G33" s="66">
        <f t="shared" si="9"/>
        <v>62860230.200000003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0</v>
      </c>
      <c r="Q2" s="18">
        <f>'Formato 6 d)'!C9</f>
        <v>0</v>
      </c>
      <c r="R2" s="18">
        <f>'Formato 6 d)'!D9</f>
        <v>0</v>
      </c>
      <c r="S2" s="18">
        <f>'Formato 6 d)'!E9</f>
        <v>0</v>
      </c>
      <c r="T2" s="18">
        <f>'Formato 6 d)'!F9</f>
        <v>0</v>
      </c>
      <c r="U2" s="18">
        <f>'Formato 6 d)'!G9</f>
        <v>0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0</v>
      </c>
      <c r="Q3" s="18">
        <f>'Formato 6 d)'!C10</f>
        <v>0</v>
      </c>
      <c r="R3" s="18">
        <f>'Formato 6 d)'!D10</f>
        <v>0</v>
      </c>
      <c r="S3" s="18">
        <f>'Formato 6 d)'!E10</f>
        <v>0</v>
      </c>
      <c r="T3" s="18">
        <f>'Formato 6 d)'!F10</f>
        <v>0</v>
      </c>
      <c r="U3" s="18">
        <f>'Formato 6 d)'!G10</f>
        <v>0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81350529</v>
      </c>
      <c r="Q13" s="18">
        <f>'Formato 6 d)'!C21</f>
        <v>0</v>
      </c>
      <c r="R13" s="18">
        <f>'Formato 6 d)'!D21</f>
        <v>81350529</v>
      </c>
      <c r="S13" s="18">
        <f>'Formato 6 d)'!E21</f>
        <v>18490298.800000001</v>
      </c>
      <c r="T13" s="18">
        <f>'Formato 6 d)'!F21</f>
        <v>18490298.800000001</v>
      </c>
      <c r="U13" s="18">
        <f>'Formato 6 d)'!G21</f>
        <v>62860230.200000003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81350529</v>
      </c>
      <c r="Q19" s="18">
        <f>'Formato 6 d)'!C27</f>
        <v>0</v>
      </c>
      <c r="R19" s="18">
        <f>'Formato 6 d)'!D27</f>
        <v>81350529</v>
      </c>
      <c r="S19" s="18">
        <f>'Formato 6 d)'!E27</f>
        <v>18490298.800000001</v>
      </c>
      <c r="T19" s="18">
        <f>'Formato 6 d)'!F27</f>
        <v>18490298.800000001</v>
      </c>
      <c r="U19" s="18">
        <f>'Formato 6 d)'!G27</f>
        <v>62860230.200000003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81350529</v>
      </c>
      <c r="Q24" s="18">
        <f>'Formato 6 d)'!C33</f>
        <v>0</v>
      </c>
      <c r="R24" s="18">
        <f>'Formato 6 d)'!D33</f>
        <v>81350529</v>
      </c>
      <c r="S24" s="18">
        <f>'Formato 6 d)'!E33</f>
        <v>18490298.800000001</v>
      </c>
      <c r="T24" s="18">
        <f>'Formato 6 d)'!F33</f>
        <v>18490298.800000001</v>
      </c>
      <c r="U24" s="18">
        <f>'Formato 6 d)'!G33</f>
        <v>62860230.200000003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topLeftCell="A2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Guanajuato,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2022</v>
      </c>
      <c r="C6" s="181" t="str">
        <f>ANIO2P</f>
        <v>2023 (d)</v>
      </c>
      <c r="D6" s="181" t="str">
        <f>ANIO3P</f>
        <v>2024 (d)</v>
      </c>
      <c r="E6" s="181" t="str">
        <f>ANIO4P</f>
        <v>2025 (d)</v>
      </c>
      <c r="F6" s="181" t="str">
        <f>ANIO5P</f>
        <v>2026 (d)</v>
      </c>
      <c r="G6" s="181" t="str">
        <f>ANIO6P</f>
        <v>2027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ht="14.25" x14ac:dyDescent="0.4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x14ac:dyDescent="0.2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Guanajuato,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2022</v>
      </c>
      <c r="C6" s="181" t="str">
        <f>ANIO2P</f>
        <v>2023 (d)</v>
      </c>
      <c r="D6" s="181" t="str">
        <f>ANIO3P</f>
        <v>2024 (d)</v>
      </c>
      <c r="E6" s="181" t="str">
        <f>ANIO4P</f>
        <v>2025 (d)</v>
      </c>
      <c r="F6" s="181" t="str">
        <f>ANIO5P</f>
        <v>2026 (d)</v>
      </c>
      <c r="G6" s="181" t="str">
        <f>ANIO6P</f>
        <v>2027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opLeftCell="A7" zoomScale="69" zoomScaleNormal="69" workbookViewId="0">
      <selection activeCell="G34" sqref="G34:G35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Guanajuato,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2016 ¹ (c)</v>
      </c>
      <c r="C5" s="186" t="str">
        <f>ANIO4R</f>
        <v>2017 ¹ (c)</v>
      </c>
      <c r="D5" s="186" t="str">
        <f>ANIO3R</f>
        <v>2018 ¹ (c)</v>
      </c>
      <c r="E5" s="186" t="str">
        <f>ANIO2R</f>
        <v>2019 ¹ (c)</v>
      </c>
      <c r="F5" s="186" t="str">
        <f>ANIO1R</f>
        <v>2020 ¹ (c)</v>
      </c>
      <c r="G5" s="51">
        <f>ANIO_INFORME</f>
        <v>2021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53936668.219999999</v>
      </c>
      <c r="C7" s="59">
        <f t="shared" ref="C7:G7" si="0">SUM(C8:C19)</f>
        <v>57671021.799999997</v>
      </c>
      <c r="D7" s="59">
        <f t="shared" si="0"/>
        <v>71515375.049999997</v>
      </c>
      <c r="E7" s="59">
        <f t="shared" si="0"/>
        <v>82619279.050000012</v>
      </c>
      <c r="F7" s="59">
        <f t="shared" si="0"/>
        <v>89477192.060000002</v>
      </c>
      <c r="G7" s="59">
        <f t="shared" si="0"/>
        <v>85773489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475</v>
      </c>
      <c r="B14" s="60">
        <v>8360832.0599999996</v>
      </c>
      <c r="C14" s="60">
        <v>9447713.8399999999</v>
      </c>
      <c r="D14" s="60">
        <v>10071669</v>
      </c>
      <c r="E14" s="60">
        <v>7354514.3200000003</v>
      </c>
      <c r="F14" s="60">
        <v>6575093.9100000001</v>
      </c>
      <c r="G14" s="60">
        <v>4422960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45522629.189999998</v>
      </c>
      <c r="C17" s="60">
        <v>48223307.960000001</v>
      </c>
      <c r="D17" s="60">
        <v>61443706.049999997</v>
      </c>
      <c r="E17" s="60">
        <v>75264764.730000004</v>
      </c>
      <c r="F17" s="60">
        <v>82902098.150000006</v>
      </c>
      <c r="G17" s="60">
        <v>81350529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479</v>
      </c>
      <c r="B19" s="60">
        <v>53206.97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4761497.62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4761497.62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53936668.219999999</v>
      </c>
      <c r="C31" s="61">
        <f t="shared" ref="C31:G31" si="3">C7+C21+C28</f>
        <v>57671021.799999997</v>
      </c>
      <c r="D31" s="61">
        <f t="shared" si="3"/>
        <v>71515375.049999997</v>
      </c>
      <c r="E31" s="61">
        <f t="shared" si="3"/>
        <v>82619279.050000012</v>
      </c>
      <c r="F31" s="61">
        <f t="shared" si="3"/>
        <v>94238689.680000007</v>
      </c>
      <c r="G31" s="61">
        <f t="shared" si="3"/>
        <v>85773489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53936668.219999999</v>
      </c>
      <c r="Q2" s="18">
        <f>'Formato 7 c)'!C7</f>
        <v>57671021.799999997</v>
      </c>
      <c r="R2" s="18">
        <f>'Formato 7 c)'!D7</f>
        <v>71515375.049999997</v>
      </c>
      <c r="S2" s="18">
        <f>'Formato 7 c)'!E7</f>
        <v>82619279.050000012</v>
      </c>
      <c r="T2" s="18">
        <f>'Formato 7 c)'!F7</f>
        <v>89477192.060000002</v>
      </c>
      <c r="U2" s="18">
        <f>'Formato 7 c)'!G7</f>
        <v>85773489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8360832.0599999996</v>
      </c>
      <c r="Q9" s="18">
        <f>'Formato 7 c)'!C14</f>
        <v>9447713.8399999999</v>
      </c>
      <c r="R9" s="18">
        <f>'Formato 7 c)'!D14</f>
        <v>10071669</v>
      </c>
      <c r="S9" s="18">
        <f>'Formato 7 c)'!E14</f>
        <v>7354514.3200000003</v>
      </c>
      <c r="T9" s="18">
        <f>'Formato 7 c)'!F14</f>
        <v>6575093.9100000001</v>
      </c>
      <c r="U9" s="18">
        <f>'Formato 7 c)'!G14</f>
        <v>4422960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45522629.189999998</v>
      </c>
      <c r="Q12" s="18">
        <f>'Formato 7 c)'!C17</f>
        <v>48223307.960000001</v>
      </c>
      <c r="R12" s="18">
        <f>'Formato 7 c)'!D17</f>
        <v>61443706.049999997</v>
      </c>
      <c r="S12" s="18">
        <f>'Formato 7 c)'!E17</f>
        <v>75264764.730000004</v>
      </c>
      <c r="T12" s="18">
        <f>'Formato 7 c)'!F17</f>
        <v>82902098.150000006</v>
      </c>
      <c r="U12" s="18">
        <f>'Formato 7 c)'!G17</f>
        <v>81350529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53206.97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4761497.62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4761497.62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53936668.219999999</v>
      </c>
      <c r="Q23" s="18">
        <f>'Formato 7 c)'!C31</f>
        <v>57671021.799999997</v>
      </c>
      <c r="R23" s="18">
        <f>'Formato 7 c)'!D31</f>
        <v>71515375.049999997</v>
      </c>
      <c r="S23" s="18">
        <f>'Formato 7 c)'!E31</f>
        <v>82619279.050000012</v>
      </c>
      <c r="T23" s="18">
        <f>'Formato 7 c)'!F31</f>
        <v>94238689.680000007</v>
      </c>
      <c r="U23" s="18">
        <f>'Formato 7 c)'!G31</f>
        <v>85773489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topLeftCell="A22" zoomScale="90" zoomScaleNormal="90" workbookViewId="0">
      <selection activeCell="G19" sqref="G19:G27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Guanajuato,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2016 ¹ (c)</v>
      </c>
      <c r="C5" s="186" t="str">
        <f>ANIO4R</f>
        <v>2017 ¹ (c)</v>
      </c>
      <c r="D5" s="186" t="str">
        <f>ANIO3R</f>
        <v>2018 ¹ (c)</v>
      </c>
      <c r="E5" s="186" t="str">
        <f>ANIO2R</f>
        <v>2019 ¹ (c)</v>
      </c>
      <c r="F5" s="186" t="str">
        <f>ANIO1R</f>
        <v>2020 ¹ (c)</v>
      </c>
      <c r="G5" s="51">
        <f>ANIO_INFORME</f>
        <v>2021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455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55933755.910000011</v>
      </c>
      <c r="C18" s="61">
        <f t="shared" ref="C18:G18" si="1">SUM(C19:C27)</f>
        <v>52172424.149999999</v>
      </c>
      <c r="D18" s="61">
        <f t="shared" si="1"/>
        <v>58498463.039999992</v>
      </c>
      <c r="E18" s="61">
        <f t="shared" si="1"/>
        <v>70343622.579999998</v>
      </c>
      <c r="F18" s="61">
        <f t="shared" si="1"/>
        <v>94029478.060000002</v>
      </c>
      <c r="G18" s="61">
        <f t="shared" si="1"/>
        <v>85773489</v>
      </c>
    </row>
    <row r="19" spans="1:7" x14ac:dyDescent="0.25">
      <c r="A19" s="53" t="s">
        <v>454</v>
      </c>
      <c r="B19" s="60">
        <v>41395867.120000005</v>
      </c>
      <c r="C19" s="60">
        <v>43032864.07</v>
      </c>
      <c r="D19" s="60">
        <v>47485781.259999998</v>
      </c>
      <c r="E19" s="60">
        <v>50288493.449999996</v>
      </c>
      <c r="F19" s="60">
        <v>79907611.650000006</v>
      </c>
      <c r="G19" s="60">
        <v>81350529</v>
      </c>
    </row>
    <row r="20" spans="1:7" x14ac:dyDescent="0.25">
      <c r="A20" s="53" t="s">
        <v>455</v>
      </c>
      <c r="B20" s="60">
        <v>4598531.71</v>
      </c>
      <c r="C20" s="60">
        <v>3485685.94</v>
      </c>
      <c r="D20" s="60">
        <v>4027682.82</v>
      </c>
      <c r="E20" s="60">
        <v>4540397.74</v>
      </c>
      <c r="F20" s="60">
        <v>6317537.870000001</v>
      </c>
      <c r="G20" s="60">
        <v>2285532</v>
      </c>
    </row>
    <row r="21" spans="1:7" x14ac:dyDescent="0.25">
      <c r="A21" s="53" t="s">
        <v>456</v>
      </c>
      <c r="B21" s="60">
        <v>5311338.95</v>
      </c>
      <c r="C21" s="60">
        <v>4607008.9399999995</v>
      </c>
      <c r="D21" s="60">
        <v>5462400.7699999996</v>
      </c>
      <c r="E21" s="60">
        <v>6687374.6400000006</v>
      </c>
      <c r="F21" s="60">
        <v>6630105.8300000001</v>
      </c>
      <c r="G21" s="60">
        <v>2066238</v>
      </c>
    </row>
    <row r="22" spans="1:7" x14ac:dyDescent="0.25">
      <c r="A22" s="53" t="s">
        <v>457</v>
      </c>
      <c r="B22" s="60"/>
      <c r="C22" s="60"/>
      <c r="D22" s="60"/>
      <c r="E22" s="60">
        <v>0</v>
      </c>
      <c r="F22" s="60">
        <v>0</v>
      </c>
      <c r="G22" s="60">
        <v>0</v>
      </c>
    </row>
    <row r="23" spans="1:7" x14ac:dyDescent="0.25">
      <c r="A23" s="53" t="s">
        <v>458</v>
      </c>
      <c r="B23" s="60">
        <v>4628018.13</v>
      </c>
      <c r="C23" s="60">
        <v>1046865.2000000001</v>
      </c>
      <c r="D23" s="60">
        <v>1522598.19</v>
      </c>
      <c r="E23" s="60">
        <v>8827356.75</v>
      </c>
      <c r="F23" s="60">
        <v>1174222.71</v>
      </c>
      <c r="G23" s="60">
        <v>71190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55933755.910000011</v>
      </c>
      <c r="C29" s="60">
        <f t="shared" ref="C29:G29" si="2">C7+C18</f>
        <v>52172424.149999999</v>
      </c>
      <c r="D29" s="60">
        <f t="shared" si="2"/>
        <v>58498463.039999992</v>
      </c>
      <c r="E29" s="60">
        <f t="shared" si="2"/>
        <v>70343622.579999998</v>
      </c>
      <c r="F29" s="60">
        <f t="shared" si="2"/>
        <v>94029478.060000002</v>
      </c>
      <c r="G29" s="60">
        <f t="shared" si="2"/>
        <v>85773489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55933755.910000011</v>
      </c>
      <c r="Q12" s="18">
        <f>'Formato 7 d)'!C18</f>
        <v>52172424.149999999</v>
      </c>
      <c r="R12" s="18">
        <f>'Formato 7 d)'!D18</f>
        <v>58498463.039999992</v>
      </c>
      <c r="S12" s="18">
        <f>'Formato 7 d)'!E18</f>
        <v>70343622.579999998</v>
      </c>
      <c r="T12" s="18">
        <f>'Formato 7 d)'!F18</f>
        <v>94029478.060000002</v>
      </c>
      <c r="U12" s="18">
        <f>'Formato 7 d)'!G18</f>
        <v>85773489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41395867.120000005</v>
      </c>
      <c r="Q13" s="18">
        <f>'Formato 7 d)'!C19</f>
        <v>43032864.07</v>
      </c>
      <c r="R13" s="18">
        <f>'Formato 7 d)'!D19</f>
        <v>47485781.259999998</v>
      </c>
      <c r="S13" s="18">
        <f>'Formato 7 d)'!E19</f>
        <v>50288493.449999996</v>
      </c>
      <c r="T13" s="18">
        <f>'Formato 7 d)'!F19</f>
        <v>79907611.650000006</v>
      </c>
      <c r="U13" s="18">
        <f>'Formato 7 d)'!G19</f>
        <v>81350529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4598531.71</v>
      </c>
      <c r="Q14" s="18">
        <f>'Formato 7 d)'!C20</f>
        <v>3485685.94</v>
      </c>
      <c r="R14" s="18">
        <f>'Formato 7 d)'!D20</f>
        <v>4027682.82</v>
      </c>
      <c r="S14" s="18">
        <f>'Formato 7 d)'!E20</f>
        <v>4540397.74</v>
      </c>
      <c r="T14" s="18">
        <f>'Formato 7 d)'!F20</f>
        <v>6317537.870000001</v>
      </c>
      <c r="U14" s="18">
        <f>'Formato 7 d)'!G20</f>
        <v>2285532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5311338.95</v>
      </c>
      <c r="Q15" s="18">
        <f>'Formato 7 d)'!C21</f>
        <v>4607008.9399999995</v>
      </c>
      <c r="R15" s="18">
        <f>'Formato 7 d)'!D21</f>
        <v>5462400.7699999996</v>
      </c>
      <c r="S15" s="18">
        <f>'Formato 7 d)'!E21</f>
        <v>6687374.6400000006</v>
      </c>
      <c r="T15" s="18">
        <f>'Formato 7 d)'!F21</f>
        <v>6630105.8300000001</v>
      </c>
      <c r="U15" s="18">
        <f>'Formato 7 d)'!G21</f>
        <v>2066238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4628018.13</v>
      </c>
      <c r="Q17" s="18">
        <f>'Formato 7 d)'!C23</f>
        <v>1046865.2000000001</v>
      </c>
      <c r="R17" s="18">
        <f>'Formato 7 d)'!D23</f>
        <v>1522598.19</v>
      </c>
      <c r="S17" s="18">
        <f>'Formato 7 d)'!E23</f>
        <v>8827356.75</v>
      </c>
      <c r="T17" s="18">
        <f>'Formato 7 d)'!F23</f>
        <v>1174222.71</v>
      </c>
      <c r="U17" s="18">
        <f>'Formato 7 d)'!G23</f>
        <v>71190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55933755.910000011</v>
      </c>
      <c r="Q22" s="18">
        <f>'Formato 7 d)'!C29</f>
        <v>52172424.149999999</v>
      </c>
      <c r="R22" s="18">
        <f>'Formato 7 d)'!D29</f>
        <v>58498463.039999992</v>
      </c>
      <c r="S22" s="18">
        <f>'Formato 7 d)'!E29</f>
        <v>70343622.579999998</v>
      </c>
      <c r="T22" s="18">
        <f>'Formato 7 d)'!F29</f>
        <v>94029478.060000002</v>
      </c>
      <c r="U22" s="18">
        <f>'Formato 7 d)'!G29</f>
        <v>85773489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tabSelected="1" zoomScale="90" zoomScaleNormal="90" workbookViewId="0">
      <selection activeCell="B66" sqref="B66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PATRONATO DE BOMBEROS DE LEON GTO.,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>
        <v>0</v>
      </c>
      <c r="C6" s="60">
        <v>0</v>
      </c>
      <c r="D6" s="60">
        <v>0</v>
      </c>
      <c r="E6" s="60">
        <v>0</v>
      </c>
      <c r="F6" s="60">
        <v>0</v>
      </c>
    </row>
    <row r="7" spans="1:7" x14ac:dyDescent="0.25">
      <c r="A7" s="137" t="s">
        <v>504</v>
      </c>
      <c r="B7" s="60">
        <v>0</v>
      </c>
      <c r="C7" s="60">
        <v>0</v>
      </c>
      <c r="D7" s="60">
        <v>0</v>
      </c>
      <c r="E7" s="60">
        <v>0</v>
      </c>
      <c r="F7" s="60">
        <v>0</v>
      </c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</row>
    <row r="12" spans="1:7" x14ac:dyDescent="0.25">
      <c r="A12" s="139" t="s">
        <v>508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</row>
    <row r="13" spans="1:7" ht="14.25" x14ac:dyDescent="0.45">
      <c r="A13" s="139" t="s">
        <v>509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</row>
    <row r="16" spans="1:7" x14ac:dyDescent="0.25">
      <c r="A16" s="139" t="s">
        <v>508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</row>
    <row r="17" spans="1:6" ht="14.25" x14ac:dyDescent="0.45">
      <c r="A17" s="139" t="s">
        <v>509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</row>
    <row r="20" spans="1:6" x14ac:dyDescent="0.25">
      <c r="A20" s="137" t="s">
        <v>513</v>
      </c>
      <c r="B20" s="146">
        <v>0</v>
      </c>
      <c r="C20" s="146">
        <v>0</v>
      </c>
      <c r="D20" s="146">
        <v>0</v>
      </c>
      <c r="E20" s="146">
        <v>0</v>
      </c>
      <c r="F20" s="146">
        <v>0</v>
      </c>
    </row>
    <row r="21" spans="1:6" x14ac:dyDescent="0.25">
      <c r="A21" s="137" t="s">
        <v>514</v>
      </c>
      <c r="B21" s="146">
        <v>0</v>
      </c>
      <c r="C21" s="146">
        <v>0</v>
      </c>
      <c r="D21" s="146">
        <v>0</v>
      </c>
      <c r="E21" s="146">
        <v>0</v>
      </c>
      <c r="F21" s="146">
        <v>0</v>
      </c>
    </row>
    <row r="22" spans="1:6" ht="14.25" x14ac:dyDescent="0.45">
      <c r="A22" s="64" t="s">
        <v>515</v>
      </c>
      <c r="B22" s="146">
        <v>0</v>
      </c>
      <c r="C22" s="146">
        <v>0</v>
      </c>
      <c r="D22" s="146">
        <v>0</v>
      </c>
      <c r="E22" s="146">
        <v>0</v>
      </c>
      <c r="F22" s="146">
        <v>0</v>
      </c>
    </row>
    <row r="23" spans="1:6" ht="14.25" x14ac:dyDescent="0.45">
      <c r="A23" s="64" t="s">
        <v>516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</row>
    <row r="24" spans="1:6" x14ac:dyDescent="0.25">
      <c r="A24" s="64" t="s">
        <v>517</v>
      </c>
      <c r="B24" s="147">
        <v>0</v>
      </c>
      <c r="C24" s="147">
        <v>0</v>
      </c>
      <c r="D24" s="147">
        <v>0</v>
      </c>
      <c r="E24" s="147">
        <v>0</v>
      </c>
      <c r="F24" s="147">
        <v>0</v>
      </c>
    </row>
    <row r="25" spans="1:6" x14ac:dyDescent="0.25">
      <c r="A25" s="137" t="s">
        <v>518</v>
      </c>
      <c r="B25" s="147">
        <v>0</v>
      </c>
      <c r="C25" s="147">
        <v>0</v>
      </c>
      <c r="D25" s="147">
        <v>0</v>
      </c>
      <c r="E25" s="147">
        <v>0</v>
      </c>
      <c r="F25" s="147">
        <v>0</v>
      </c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</row>
    <row r="32" spans="1:6" x14ac:dyDescent="0.25">
      <c r="A32" s="137" t="s">
        <v>510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</row>
    <row r="33" spans="1:6" x14ac:dyDescent="0.25">
      <c r="A33" s="137" t="s">
        <v>522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</row>
    <row r="37" spans="1:6" x14ac:dyDescent="0.25">
      <c r="A37" s="137" t="s">
        <v>525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</row>
    <row r="38" spans="1:6" x14ac:dyDescent="0.25">
      <c r="A38" s="137" t="s">
        <v>526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6" x14ac:dyDescent="0.25">
      <c r="A44" s="137" t="s">
        <v>530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6" x14ac:dyDescent="0.25">
      <c r="A45" s="137" t="s">
        <v>531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>
        <v>0</v>
      </c>
      <c r="C48" s="146">
        <v>0</v>
      </c>
      <c r="D48" s="146">
        <v>0</v>
      </c>
      <c r="E48" s="146">
        <v>0</v>
      </c>
      <c r="F48" s="146">
        <v>0</v>
      </c>
    </row>
    <row r="49" spans="1:6" x14ac:dyDescent="0.25">
      <c r="A49" s="64" t="s">
        <v>531</v>
      </c>
      <c r="B49" s="146">
        <v>0</v>
      </c>
      <c r="C49" s="146">
        <v>0</v>
      </c>
      <c r="D49" s="146">
        <v>0</v>
      </c>
      <c r="E49" s="146">
        <v>0</v>
      </c>
      <c r="F49" s="146">
        <v>0</v>
      </c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</row>
    <row r="53" spans="1:6" x14ac:dyDescent="0.25">
      <c r="A53" s="137" t="s">
        <v>531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</row>
    <row r="54" spans="1:6" x14ac:dyDescent="0.25">
      <c r="A54" s="137" t="s">
        <v>534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</row>
    <row r="58" spans="1:6" x14ac:dyDescent="0.25">
      <c r="A58" s="137" t="s">
        <v>531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>
        <v>0</v>
      </c>
      <c r="C62" s="147">
        <v>0</v>
      </c>
      <c r="D62" s="147">
        <v>0</v>
      </c>
      <c r="E62" s="147">
        <v>0</v>
      </c>
      <c r="F62" s="147">
        <v>0</v>
      </c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topLeftCell="B58" zoomScale="90" zoomScaleNormal="90" workbookViewId="0">
      <selection activeCell="E76" sqref="E76:F77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PATRONATO DE BOMBEROS DE LEON GTO.,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2020 y al 30 de marzo de 2021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2021 (d)</v>
      </c>
      <c r="C6" s="131" t="str">
        <f>ULTIMO</f>
        <v>31 de diciembre de 2020 (e)</v>
      </c>
      <c r="D6" s="135" t="s">
        <v>0</v>
      </c>
      <c r="E6" s="134" t="str">
        <f>ANIO</f>
        <v>2021 (d)</v>
      </c>
      <c r="F6" s="131" t="str">
        <f>ULTIMO</f>
        <v>31 de diciembre de 2020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17393676.98</v>
      </c>
      <c r="C9" s="60">
        <f>SUM(C10:C16)</f>
        <v>11487140.98</v>
      </c>
      <c r="D9" s="100" t="s">
        <v>54</v>
      </c>
      <c r="E9" s="60">
        <f>SUM(E10:E18)</f>
        <v>2113815.44</v>
      </c>
      <c r="F9" s="60">
        <f>SUM(F10:F18)</f>
        <v>4607634.6100000003</v>
      </c>
    </row>
    <row r="10" spans="1:6" x14ac:dyDescent="0.25">
      <c r="A10" s="96" t="s">
        <v>4</v>
      </c>
      <c r="B10" s="60">
        <v>8500</v>
      </c>
      <c r="C10" s="60">
        <v>8500</v>
      </c>
      <c r="D10" s="101" t="s">
        <v>55</v>
      </c>
      <c r="E10" s="60">
        <v>542182.19999999995</v>
      </c>
      <c r="F10" s="60">
        <v>0</v>
      </c>
    </row>
    <row r="11" spans="1:6" x14ac:dyDescent="0.25">
      <c r="A11" s="96" t="s">
        <v>5</v>
      </c>
      <c r="B11" s="60">
        <v>17385176.98</v>
      </c>
      <c r="C11" s="60">
        <v>11478640.98</v>
      </c>
      <c r="D11" s="101" t="s">
        <v>56</v>
      </c>
      <c r="E11" s="60">
        <v>-35.909999999999997</v>
      </c>
      <c r="F11" s="60">
        <v>52812.91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1571669.15</v>
      </c>
      <c r="F16" s="60">
        <v>4554821.7</v>
      </c>
    </row>
    <row r="17" spans="1:6" x14ac:dyDescent="0.25">
      <c r="A17" s="95" t="s">
        <v>11</v>
      </c>
      <c r="B17" s="60">
        <f>SUM(B18:B24)</f>
        <v>174832.21</v>
      </c>
      <c r="C17" s="60">
        <f>SUM(C18:C24)</f>
        <v>125313.48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5514.79</v>
      </c>
      <c r="F19" s="60">
        <f>SUM(F20:F22)</f>
        <v>5455.43</v>
      </c>
    </row>
    <row r="20" spans="1:6" x14ac:dyDescent="0.25">
      <c r="A20" s="97" t="s">
        <v>14</v>
      </c>
      <c r="B20" s="60">
        <v>174832.21</v>
      </c>
      <c r="C20" s="60">
        <v>125313.48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5514.79</v>
      </c>
      <c r="F22" s="60">
        <v>5455.43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330565.63</v>
      </c>
      <c r="C25" s="60">
        <f>SUM(C26:C30)</f>
        <v>359383.79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330565.63</v>
      </c>
      <c r="C26" s="60">
        <v>359383.79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2016291.72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2016291.72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17899074.82</v>
      </c>
      <c r="C47" s="61">
        <f>C9+C17+C25+C31+C38+C41</f>
        <v>11971838.25</v>
      </c>
      <c r="D47" s="99" t="s">
        <v>91</v>
      </c>
      <c r="E47" s="61">
        <f>E9+E19+E23+E26+E27+E31+E38+E42</f>
        <v>4135621.95</v>
      </c>
      <c r="F47" s="61">
        <f>F9+F19+F23+F26+F27+F31+F38+F42</f>
        <v>4613090.04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14459914.49</v>
      </c>
      <c r="C52" s="60">
        <v>14459914.49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61593661.899999999</v>
      </c>
      <c r="C53" s="60">
        <v>61551290.469999999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261756.64</v>
      </c>
      <c r="C54" s="60">
        <v>190835.6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-48689861.789999999</v>
      </c>
      <c r="C55" s="60">
        <v>-47729164.590000004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4135621.95</v>
      </c>
      <c r="F59" s="61">
        <f>F47+F57</f>
        <v>4613090.04</v>
      </c>
    </row>
    <row r="60" spans="1:6" x14ac:dyDescent="0.25">
      <c r="A60" s="55" t="s">
        <v>50</v>
      </c>
      <c r="B60" s="61">
        <f>SUM(B50:B58)</f>
        <v>27625471.240000002</v>
      </c>
      <c r="C60" s="61">
        <f>SUM(C50:C58)</f>
        <v>28472875.969999984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45524546.060000002</v>
      </c>
      <c r="C62" s="61">
        <f>SUM(C47+C60)</f>
        <v>40444714.219999984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19972929.789999999</v>
      </c>
      <c r="F63" s="77">
        <f>SUM(F64:F66)</f>
        <v>19972929.789999999</v>
      </c>
    </row>
    <row r="64" spans="1:6" x14ac:dyDescent="0.25">
      <c r="A64" s="54"/>
      <c r="B64" s="54"/>
      <c r="C64" s="54"/>
      <c r="D64" s="103" t="s">
        <v>103</v>
      </c>
      <c r="E64" s="77">
        <v>19972929.789999999</v>
      </c>
      <c r="F64" s="77">
        <v>19972929.789999999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21415994.32</v>
      </c>
      <c r="F68" s="77">
        <f>SUM(F69:F73)</f>
        <v>15858694.389999997</v>
      </c>
    </row>
    <row r="69" spans="1:6" x14ac:dyDescent="0.25">
      <c r="A69" s="12"/>
      <c r="B69" s="54"/>
      <c r="C69" s="54"/>
      <c r="D69" s="103" t="s">
        <v>107</v>
      </c>
      <c r="E69" s="77">
        <v>5557003.9299999997</v>
      </c>
      <c r="F69" s="77">
        <v>-7220852.0900000036</v>
      </c>
    </row>
    <row r="70" spans="1:6" x14ac:dyDescent="0.25">
      <c r="A70" s="12"/>
      <c r="B70" s="54"/>
      <c r="C70" s="54"/>
      <c r="D70" s="103" t="s">
        <v>108</v>
      </c>
      <c r="E70" s="77">
        <v>15858990.390000001</v>
      </c>
      <c r="F70" s="77">
        <v>23079546.48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41388924.109999999</v>
      </c>
      <c r="F79" s="61">
        <f>F63+F68+F75</f>
        <v>35831624.179999992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45524546.060000002</v>
      </c>
      <c r="F81" s="61">
        <f>F59+F79</f>
        <v>40444714.219999991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17393676.98</v>
      </c>
      <c r="Q4" s="18">
        <f>'Formato 1'!C9</f>
        <v>11487140.98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8500</v>
      </c>
      <c r="Q5" s="18">
        <f>'Formato 1'!C10</f>
        <v>8500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17385176.98</v>
      </c>
      <c r="Q6" s="18">
        <f>'Formato 1'!C11</f>
        <v>11478640.98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174832.21</v>
      </c>
      <c r="Q12" s="18">
        <f>'Formato 1'!C17</f>
        <v>125313.48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174832.21</v>
      </c>
      <c r="Q15" s="18">
        <f>'Formato 1'!C20</f>
        <v>125313.48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330565.63</v>
      </c>
      <c r="Q20" s="18">
        <f>'Formato 1'!C25</f>
        <v>359383.79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330565.63</v>
      </c>
      <c r="Q21" s="18">
        <f>'Formato 1'!C26</f>
        <v>359383.79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17899074.82</v>
      </c>
      <c r="Q42" s="18">
        <f>'Formato 1'!C47</f>
        <v>11971838.25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14459914.49</v>
      </c>
      <c r="Q46">
        <f>'Formato 1'!C52</f>
        <v>14459914.49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61593661.899999999</v>
      </c>
      <c r="Q47">
        <f>'Formato 1'!C53</f>
        <v>61551290.469999999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261756.64</v>
      </c>
      <c r="Q48">
        <f>'Formato 1'!C54</f>
        <v>190835.6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-48689861.789999999</v>
      </c>
      <c r="Q49">
        <f>'Formato 1'!C55</f>
        <v>-47729164.590000004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27625471.240000002</v>
      </c>
      <c r="Q53">
        <f>'Formato 1'!C60</f>
        <v>28472875.969999984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45524546.060000002</v>
      </c>
      <c r="Q54">
        <f>'Formato 1'!C62</f>
        <v>40444714.219999984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2113815.44</v>
      </c>
      <c r="Q57">
        <f>'Formato 1'!F9</f>
        <v>4607634.6100000003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542182.19999999995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-35.909999999999997</v>
      </c>
      <c r="Q59">
        <f>'Formato 1'!F11</f>
        <v>52812.91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1571669.15</v>
      </c>
      <c r="Q64">
        <f>'Formato 1'!F16</f>
        <v>4554821.7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5514.79</v>
      </c>
      <c r="Q67">
        <f>'Formato 1'!F19</f>
        <v>5455.43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5514.79</v>
      </c>
      <c r="Q70">
        <f>'Formato 1'!F22</f>
        <v>5455.43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2016291.72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2016291.72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4135621.95</v>
      </c>
      <c r="Q95">
        <f>'Formato 1'!F47</f>
        <v>4613090.04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4135621.95</v>
      </c>
      <c r="Q104">
        <f>'Formato 1'!F59</f>
        <v>4613090.04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19972929.789999999</v>
      </c>
      <c r="Q106">
        <f>'Formato 1'!F63</f>
        <v>19972929.789999999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19972929.789999999</v>
      </c>
      <c r="Q107">
        <f>'Formato 1'!F64</f>
        <v>19972929.789999999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21415994.32</v>
      </c>
      <c r="Q110">
        <f>'Formato 1'!F68</f>
        <v>15858694.389999997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5557003.9299999997</v>
      </c>
      <c r="Q111">
        <f>'Formato 1'!F69</f>
        <v>-7220852.0900000036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15858990.390000001</v>
      </c>
      <c r="Q112">
        <f>'Formato 1'!F70</f>
        <v>23079546.48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41388924.109999999</v>
      </c>
      <c r="Q119">
        <f>'Formato 1'!F79</f>
        <v>35831624.179999992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45524546.060000002</v>
      </c>
      <c r="Q120">
        <f>'Formato 1'!F81</f>
        <v>40444714.219999991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71" zoomScaleNormal="71" workbookViewId="0">
      <selection activeCell="B42" sqref="B42:F44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PATRONATO DE BOMBEROS DE LEON GTO.,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2020 y al 30 de marzo de 2021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2020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4613090.04</v>
      </c>
      <c r="C18" s="132"/>
      <c r="D18" s="132"/>
      <c r="E18" s="132"/>
      <c r="F18" s="61">
        <v>4135621.95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4613090.04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4135621.95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4613090.04</v>
      </c>
      <c r="Q12" s="18"/>
      <c r="R12" s="18"/>
      <c r="S12" s="18"/>
      <c r="T12" s="18">
        <f>'Formato 2'!F18</f>
        <v>4135621.95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4613090.04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4135621.95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60" zoomScaleNormal="60" workbookViewId="0">
      <selection activeCell="G15" sqref="G15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PATRONATO DE BOMBEROS DE LEON GTO.,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30 de marzo de 2021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2021 (k)</v>
      </c>
      <c r="J6" s="131" t="str">
        <f>MONTO2</f>
        <v>Monto pagado de la inversión actualizado al 30 de marzo de 2021 (l)</v>
      </c>
      <c r="K6" s="131" t="str">
        <f>SALDO_PENDIENTE</f>
        <v>Saldo pendiente por pagar de la inversión al 30 de marzo de 2021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CP. Miguel Trujillo</cp:lastModifiedBy>
  <cp:lastPrinted>2017-02-04T00:56:20Z</cp:lastPrinted>
  <dcterms:created xsi:type="dcterms:W3CDTF">2017-01-19T17:59:06Z</dcterms:created>
  <dcterms:modified xsi:type="dcterms:W3CDTF">2021-04-22T18:27:01Z</dcterms:modified>
</cp:coreProperties>
</file>